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enník" r:id="rId3" sheetId="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Arial"/>
      <sz val="10.0"/>
      <b val="true"/>
    </font>
    <font>
      <name val="Arial"/>
      <sz val="8.0"/>
      <b val="true"/>
    </font>
    <font>
      <name val="Arial"/>
      <sz val="8.0"/>
    </font>
    <font>
      <name val="Arial"/>
      <sz val="8.0"/>
      <color indexed="12"/>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8">
    <xf numFmtId="0" fontId="0" fillId="0" borderId="0" xfId="0"/>
    <xf numFmtId="4" fontId="2" fillId="0" borderId="4" xfId="0" applyNumberFormat="true" applyBorder="true" applyFont="true">
      <alignment horizontal="right" vertical="top"/>
    </xf>
    <xf numFmtId="0" fontId="3" fillId="0" borderId="4" xfId="0" applyNumberFormat="true" applyBorder="true" applyFont="true">
      <alignment vertical="top"/>
    </xf>
    <xf numFmtId="0" fontId="2" fillId="0" borderId="4" xfId="0" applyNumberFormat="true" applyBorder="true" applyFont="true">
      <alignment vertical="top"/>
    </xf>
    <xf numFmtId="0" fontId="3" fillId="0" borderId="4" xfId="0" applyNumberFormat="true" applyBorder="true" applyFont="true">
      <alignment vertical="justify"/>
    </xf>
    <xf numFmtId="0" fontId="1" fillId="0" borderId="4" xfId="0" applyFont="true" applyBorder="true">
      <alignment horizontal="center" vertical="top" wrapText="true"/>
    </xf>
    <xf numFmtId="0" fontId="1" fillId="3" borderId="4" xfId="0" applyFont="true" applyFill="true" applyBorder="true">
      <alignment horizontal="left" vertical="top"/>
    </xf>
    <xf numFmtId="0" fontId="4" fillId="0" borderId="4" xfId="0" applyFont="true" applyBorder="true">
      <alignment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eetViews>
  <sheetFormatPr defaultRowHeight="15.0"/>
  <cols>
    <col min="1" max="1" width="39.0625" customWidth="true"/>
    <col min="2" max="2" width="39.0625" customWidth="true"/>
    <col min="3" max="3" width="19.53125" customWidth="true"/>
    <col min="4" max="4" width="50.78125" customWidth="true"/>
    <col min="5" max="5" width="50.78125" customWidth="true"/>
    <col min="6" max="6" width="12.5" customWidth="true"/>
    <col min="7" max="7" width="117.1875" customWidth="true"/>
  </cols>
  <sheetData>
    <row r="1" customHeight="true" ht="25.0">
      <c r="A1" s="5" t="inlineStr">
        <is>
          <t>Výrobok</t>
        </is>
      </c>
      <c r="B1" s="5" t="inlineStr">
        <is>
          <t>Pomenovanie</t>
        </is>
      </c>
      <c r="C1" s="5" t="inlineStr">
        <is>
          <t>Odpor. PC €</t>
        </is>
      </c>
      <c r="D1" s="5" t="inlineStr">
        <is>
          <t>Link</t>
        </is>
      </c>
      <c r="E1" s="5" t="inlineStr">
        <is>
          <t>Obraz</t>
        </is>
      </c>
      <c r="F1" s="5" t="inlineStr">
        <is>
          <t>EAN</t>
        </is>
      </c>
      <c r="G1" s="5" t="inlineStr">
        <is>
          <t>Description</t>
        </is>
      </c>
    </row>
    <row r="2">
      <c r="A2" s="6" t="inlineStr">
        <is>
          <t xml:space="preserve">   Grilovanie / Plynový gril</t>
        </is>
      </c>
      <c r="B2" s="6" t="inlineStr">
        <is>
          <t/>
        </is>
      </c>
      <c r="C2" s="6" t="inlineStr">
        <is>
          <t/>
        </is>
      </c>
      <c r="D2" s="6" t="inlineStr">
        <is>
          <t/>
        </is>
      </c>
      <c r="E2" s="6" t="inlineStr">
        <is>
          <t/>
        </is>
      </c>
      <c r="F2" s="6" t="inlineStr">
        <is>
          <t/>
        </is>
      </c>
      <c r="G2" s="6" t="inlineStr">
        <is>
          <t/>
        </is>
      </c>
    </row>
    <row r="3">
      <c r="A3" s="3" t="inlineStr">
        <is>
          <t>BC-GAS-2037</t>
        </is>
      </c>
      <c r="B3" s="2" t="inlineStr">
        <is>
          <t>Gril BC-GAS-2037 Stella 3221 plynový gril s úložným priestorom, bočný horák, plynová fľaša s úložným priestorom, 174x59x119cm</t>
        </is>
      </c>
      <c r="C3" s="1" t="n">
        <v>902.9</v>
      </c>
      <c r="D3" s="7" t="n">
        <f>HYPERLINK("https://www.somogyi.sk/product/gril-bc-gas-2037-stella-3221-plynovy-gril-s-uloznym-priestorom-bocny-horak-plynova-flasa-s-uloznym-priestorom-174x59x119cm-bc-gas-2037-18812","https://www.somogyi.sk/product/gril-bc-gas-2037-stella-3221-plynovy-gril-s-uloznym-priestorom-bocny-horak-plynova-flasa-s-uloznym-priestorom-174x59x119cm-bc-gas-2037-18812")</f>
        <v>0.0</v>
      </c>
      <c r="E3" s="7" t="n">
        <f>HYPERLINK("https://www.somogyi.sk/data/img/product_main_images/small/18812.jpg","https://www.somogyi.sk/data/img/product_main_images/small/18812.jpg")</f>
        <v>0.0</v>
      </c>
      <c r="F3" s="2" t="inlineStr">
        <is>
          <t>5400269210533</t>
        </is>
      </c>
      <c r="G3" s="4" t="inlineStr">
        <is>
          <t>Chcete ľahko použiteľný a všestranný plynový gril, ktorý splní všetky vaše potreby pri grilovaní? Plynový gril Barbecook BC-GAS-2037 Stella 3221 je ideálnou voľbou pre tých, ktorí chcú mať sofistikovaný zážitok z varenia na čerstvom vzduchu a zároveň chcú pohodlie. 
Medzi rôznymi modelmi plynových grilov od spoločnosti Barbecook vyniká séria Stella svojou kvalitou, krásnym vzhľadom a jednoduchým používaním. V rámci radu Stella si môžete vybrať z troch rôznych modelov: Stella 3201, Stella 3221 a Stella 4311.
Čím je plynový gril Stella 3221 taký výnimočný? Plynový gril Stella od spoločnosti Barbecook je nepochybne fantastický výrobok: krásny, s matným čiernym povrchom a striebornými detailmi, mimoriadne užívateľsky prívetivý a najvyššej kvality. Tento plynový gril sa dá zapáliť v 1-2-3 nastaveniach a zaručuje výnimočné výsledky grilovania. Má smaltované liatinové rošty a centrálna, najhorúcejšia časť - Dynamic Core Grill - je navrhnutá tak, aby sa rošt dal vybrať a nahradiť užitočnými nástrojmi, ako je napríklad platňa na pizzu alebo grilovanie. Skrátka, s plynovým grilom Stella je možné takmer všetko! Vďaka smaltovanému dvojstennému veku a zabudovanému teplomeru máte maximálnu kontrolu. Nie všetky ingrediencie majú rovnaký čas prípravy, takže niektoré pokrmy sú pripravené rýchlejšie ako iné. To však nie je problém. Po uvarení môžete jedlo udržiavať teplé na špeciálnom ohrievacom stojane v plynovom grile. Pri grilovaní môže vzniknúť veľa tuku, ktorý sa zhromažďuje vo vstavanej odkvapkávacej miske. Po grilovaní jednoducho vložte odkvapkávaciu misku do umývačky riadu. Je dobré vedieť, že všetky modely plynových grilov Stella možno kombinovať so súpravou otočných ražňov Barbecook.
Ako funguje plynový gril Stella 3221? Uvedenie plynového grilu Stella 3221 do prevádzky je mimoriadne jednoduché. Najprv otvorte veko plynového grilu a potom otvorte kohútik plynovej fľaše. Nechajte plyn prúdiť do plynového grilu. Potom otočte ovládacie gombíky do najvyššej polohy. Tie sú pripojené ku každému horáku. Keď uvidíte plameň, zatvorte veko a nechajte spotrebič zahrievať približne 10 až 15 minút. Potom môžete začať grilovať! Pri grilovaní na plyne sa odporúča používať propán. Nezabudnite si kúpiť správny regulátor plynu. Ten zníži tlak v plynovej fľaši. Tlak v plynovej fľaši je často oveľa vyšší, ako gril potrebuje. Nezabudnite pravidelne kontrolovať dátum na plynovom potrubí. Štandardné plynové potrubia majú životnosť 5 až 10 rokov.
S plynovým grilom Stella 3221 môžete obslúžiť až 14 osôb. Tento model má tri horáky a tri rošty, jeden s rozmermi 35x43 cm a dva s rozmermi 17x43 cm. Má tiež extra dlhý sklápací bočný stolík s tromi praktickými prídavnými háčikmi. Plynový gril Stella 3221 má aj bočný horák, ktorý je ideálny na prípravu omáčok alebo príloh. Ľahko sa premiestňuje vďaka štyrom kolieskam na spodnej časti spotrebiča. Okrem toho má plynový gril Stella 3221 dve veľké zásuvky a samostatnú skrinku na plynovú fľašu.
Nenechajte si ujsť grilovaciu sezónu bez grilu. Pozvite svojich priateľov a rodinu na grilovanie vonku. Gril Barbecook Stella 3221 bude vaším verným spoločníkom.</t>
        </is>
      </c>
    </row>
    <row r="4">
      <c r="A4" s="3" t="inlineStr">
        <is>
          <t>BC-GAS-2009</t>
        </is>
      </c>
      <c r="B4" s="2" t="inlineStr">
        <is>
          <t>Barbecook BC-GAS-2009 Plynový gril Spring 2002, 110x55x115cm</t>
        </is>
      </c>
      <c r="C4" s="1" t="n">
        <v>347.9</v>
      </c>
      <c r="D4" s="7" t="n">
        <f>HYPERLINK("https://www.somogyi.sk/product/barbecook-bc-gas-2009-plynovy-gril-spring-2002-110x55x115cm-bc-gas-2009-18808","https://www.somogyi.sk/product/barbecook-bc-gas-2009-plynovy-gril-spring-2002-110x55x115cm-bc-gas-2009-18808")</f>
        <v>0.0</v>
      </c>
      <c r="E4" s="7" t="n">
        <f>HYPERLINK("https://www.somogyi.sk/data/img/product_main_images/small/18808.jpg","https://www.somogyi.sk/data/img/product_main_images/small/18808.jpg")</f>
        <v>0.0</v>
      </c>
      <c r="F4" s="2" t="inlineStr">
        <is>
          <t>5400269210557</t>
        </is>
      </c>
      <c r="G4" s="4" t="inlineStr">
        <is>
          <t>Hľadáte plynový gril, ktorý ponúka jednoduché použitie a všestrannosť? Objavte plynový gril Barbecook Spring 2002, ktorý ponúka kombináciu pohodlia a jednoduchosti pre vaše vonkajšie varenie. Tento model môže byť ideálnou voľbou pre tých, ktorí pri grilovaní ocenia jednoduchosť a precíznosť.
Výhody plynového grilu Spring 2002:
Plynové grily Barbecook Spring 2002 majú množstvo výhod, ktoré uľahčujú grilovanie a zvyšujú úroveň vašich vonkajších párty. Elektronický zapaľovací systém (napájaný 1 batériou AA, nie je súčasťou dodávky) umožňuje rýchle a bezpečné zapálenie grilu, zatiaľ čo teplomer integrovaný do smaltovaného veka umožňuje presnú kontrolu teploty pokrmov. Liatinové rošty sú ideálne na rovnomernú a intenzívnu prípravu surovín. Špeciálna mriežka udržujúca teplo vám umožní udržať jedlo pri dokonalej teplote, zatiaľ čo veľké kolieska uľahčujú premiestňovanie grilu. Odkvapkávacia miska vhodná do umývačky riadu uľahčuje čistenie, zatiaľ čo dva sklopné bočné stolíky a 3 háčiky na príslušenstvo poskytujú dodatočné pohodlie a úložný priestor počas grilovania.
Ako plynový gril Spring 2002 funguje?
Používanie plynového grilu Spring 2002 je veľmi jednoduché: otvorte veko, otvorte kohútik plynovej fľaše a nechajte plyn prúdiť do grilu. Otočte ovládacie gombíky do najvyššej polohy a elektronický systém zapaľovania zabezpečí iskru. Hneď ako uvidíte plameň, zatvorte veko a nechajte spotrebič 10-15 minút rozohrievať. Potom začnite grilovať! Odporúča sa propánový plyn, nezabudnite si kúpiť vhodný regulátor plynu na zníženie tlaku plynovej fľaše. Pravidelne kontrolujte dátum plynového potrubia, pretože štandardné plynové potrubia majú životnosť 5 až 10 rokov.
Zhrnutie plynového grilu z jari 2002:
Plynové grily Spring 2002 sú najmenším modelom z radu Spring s dvoma horákmi a dvoma roštami s rozmermi 24 × 43 cm, ktoré poskytujú priestor na grilovanie pre približne 8 osôb. Dva sklopné bočné stolíky - z ktorých jeden je vybavený 3 praktickými háčikmi na príslušenstvo - poskytujú ďalšie pohodlie a možnosti skladovania. Veľké kolieska uľahčujú pohyb grilu, zatiaľ čo odkvapkávacia miska vhodná do umývačky riadu uľahčuje čistenie. Smaltovaný poklop a integrovaný teplomer vám poskytujú úplnú kontrolu nad pokrmom, vďaka čomu je plynový gril Spring 2002 ideálnou voľbou pre tých, ktorí uprednostňujú pohodlie a kontrolu nad grilovaním.
Nechajte gril Barbecook Spring 2002, aby vás očaril pri každom grilovaní.</t>
        </is>
      </c>
    </row>
    <row r="5">
      <c r="A5" s="3" t="inlineStr">
        <is>
          <t>PWS-000291-01</t>
        </is>
      </c>
      <c r="B5" s="2" t="inlineStr">
        <is>
          <t>Sada na reguláciu tlaku</t>
        </is>
      </c>
      <c r="C5" s="1" t="n">
        <v>11.89</v>
      </c>
      <c r="D5" s="7" t="n">
        <f>HYPERLINK("https://www.somogyi.sk/product/sada-na-regulaciu-tlaku-pws-000291-01-18167","https://www.somogyi.sk/product/sada-na-regulaciu-tlaku-pws-000291-01-18167")</f>
        <v>0.0</v>
      </c>
      <c r="E5" s="7" t="n">
        <f>HYPERLINK("https://www.somogyi.sk/data/img/product_main_images/small/18167.jpg","https://www.somogyi.sk/data/img/product_main_images/small/18167.jpg")</f>
        <v>0.0</v>
      </c>
      <c r="F5" s="2" t="inlineStr">
        <is>
          <t>5999084961893</t>
        </is>
      </c>
      <c r="G5" s="4"/>
    </row>
    <row r="6">
      <c r="A6" s="3" t="inlineStr">
        <is>
          <t>BC-GAS-2018</t>
        </is>
      </c>
      <c r="B6" s="2" t="inlineStr">
        <is>
          <t>Barbecook BC-GAS-2018 Plynový gril Siesta 310 Black Edition s bočným horákom, 124x56x120cm</t>
        </is>
      </c>
      <c r="C6" s="1" t="n">
        <v>508.9</v>
      </c>
      <c r="D6" s="7" t="n">
        <f>HYPERLINK("https://www.somogyi.sk/product/barbecook-bc-gas-2018-plynovy-gril-siesta-310-black-edition-s-bocnym-horakom-124x56x120cm-bc-gas-2018-18747","https://www.somogyi.sk/product/barbecook-bc-gas-2018-plynovy-gril-siesta-310-black-edition-s-bocnym-horakom-124x56x120cm-bc-gas-2018-18747")</f>
        <v>0.0</v>
      </c>
      <c r="E6" s="7" t="n">
        <f>HYPERLINK("https://www.somogyi.sk/data/img/product_main_images/small/18747.jpg","https://www.somogyi.sk/data/img/product_main_images/small/18747.jpg")</f>
        <v>0.0</v>
      </c>
      <c r="F6" s="2" t="inlineStr">
        <is>
          <t>5400269207496</t>
        </is>
      </c>
      <c r="G6" s="4" t="inlineStr">
        <is>
          <t>Chcete plynový gril, ktorý sa ľahko používa a je všestranný? Plynový gril Barbecook BC-GAS-2018 Siesta 310 Black Edition je ideálnou voľbou pre tých, ktorí hľadajú plnohodnotný zážitok z varenia vonku bez toho, aby sa vzdali komfortu a ovládania. 
Spoločnosť Barbecook ponúka rôzne modely plynových grilov, ktoré sú vysoko kvalitné, majú krásny vzhľad a ľahko sa používajú. Model Siesta je jedným z radu plynových grilov od spoločnosti Barbecook. V rámci radu Siesta nájdete štyri rôzne modely: Siesta 210, Siesta 310, Siesta 412 a Siesta 612.
Medzi výhody plynového grilu Siesta 310 patrí štýl, funkcie a užívateľsky prívetivé ovládanie. Tento vysokokvalitný plynový gril s odolným povrchom je ideálnou voľbou pre tých, ktorí chcú grilovať širokú škálu potravín. S plynovým grilom Siesta 310 môžete začať grilovať už za 10 minút. Dvojstenné smaltované veko zabezpečuje konštantnú teplotu vo vnútri plynového grilu. Zabudovaný teplomer navyše uľahčuje kontrolu teploty. Mriežky sú vyrobené zo smaltovanej liatiny, mimoriadne kvalitného materiálu, ktorý je ideálny na rovnomerné a dobré prepečenie vašich surovín. Fantastickou extra funkciou plynového grilu Siesta 310 je dynamické jadro grilu. Ide o centrálnu, najhorúcejšiu časť grilu. Je navrhnutá tak, aby sa grilovací rošt dal vybrať a nahradiť užitočným príslušenstvom, ako je napríklad doska na pizzu alebo platňa na pečenie. Ešte viac možností! Na ohrievací rošt plynového grilu môžete umiestniť už pripravené suroviny, zatiaľ čo čakáte, kým sa zvyšok surovín upečie. 
Ľahko vyberateľná odkvapkávacia miska, ktorú možno umývať v umývačke riadu, zachytáva tuk z vašich pokrmov. Máte počas grilovania smäd? Žiadny problém, vďaka zabudovanému otváraču na fľaše si môžete vychutnať okamžité osvieženie! Je dobré vedieť, že plynový gril Siesta 310 možno kombinovať aj so súpravou otočných ražňov Barbecook.
Plynový gril Siesta 310 sa mimoriadne jednoducho používa. Najprv otvorte veko plynového grilu a potom otvorte kohútik plynovej fľaše. Nechajte plyn prúdiť do plynového grilu. Potom otočte ovládacie gombíky do najvyššej polohy. Tie sú pripojené ku každému horáku. Keď uvidíte plameň, zatvorte veko a nechajte spotrebič zahrievať približne 10 až 15 minút. Potom môžete začať grilovať! Pri používaní plynového grilu sa odporúča používať propán. Nezabudnite si kúpiť správny regulátor plynu. Ten zníži tlak v plynovej fľaši. Tlak v plynovej fľaši je často oveľa vyšší, ako gril potrebuje. Pravidelne kontrolujte dátum na plynovom potrubí. Štandardné plynové potrubia majú životnosť 5 až 10 rokov.
Technické údaje plynového grilu Siesta 310. Toto zariadenie má tri horáky a tri rošty, jeden s rozmermi 35x43 cm a dva s rozmermi 13,5x43 cm. Okrem toho má tento plynový gril pevný stolík a bočný horák, ktorý je ideálny na prípravu omáčok alebo príloh. Plynový sporák Siesta 310 sa ľahko premiestňuje vďaka dvom veľkým kolieskam v spodnej časti spotrebiča.
Ak hľadáte kompaktný, ale spoľahlivý plynový gril s extra funkciami, Siesta 310 je pre vás tou správnou voľbou.</t>
        </is>
      </c>
    </row>
    <row r="7">
      <c r="A7" s="3" t="inlineStr">
        <is>
          <t>BC-GAS-2038</t>
        </is>
      </c>
      <c r="B7" s="2" t="inlineStr">
        <is>
          <t>Plynový gril Barbecook BC-GAS-2038 Stella 4311 s úložným priestorom, infračervený bočný horák, 174x59x119cm</t>
        </is>
      </c>
      <c r="C7" s="1" t="n">
        <v>1049.0</v>
      </c>
      <c r="D7" s="7" t="n">
        <f>HYPERLINK("https://www.somogyi.sk/product/plynovy-gril-barbecook-bc-gas-2038-stella-4311-s-uloznym-priestorom-infracerveny-bocny-horak-174x59x119cm-bc-gas-2038-18813","https://www.somogyi.sk/product/plynovy-gril-barbecook-bc-gas-2038-stella-4311-s-uloznym-priestorom-infracerveny-bocny-horak-174x59x119cm-bc-gas-2038-18813")</f>
        <v>0.0</v>
      </c>
      <c r="E7" s="7" t="n">
        <f>HYPERLINK("https://www.somogyi.sk/data/img/product_main_images/small/18813.jpg","https://www.somogyi.sk/data/img/product_main_images/small/18813.jpg")</f>
        <v>0.0</v>
      </c>
      <c r="F7" s="2" t="inlineStr">
        <is>
          <t>5400269210540</t>
        </is>
      </c>
      <c r="G7" s="4" t="inlineStr">
        <is>
          <t>Chcete ľahko použiteľný a všestranný plynový gril, ktorý splní všetky vaše potreby pri grilovaní? Plynový gril Barbecook BC-GAS-2038 Stella 4311 je ideálnou voľbou pre tých, ktorí chcú mať sofistikovaný zážitok z varenia na čerstvom vzduchu a zároveň chcú mať pohodlie. 
Medzi rôznymi modelmi plynových grilov od spoločnosti Barbecook vyniká séria Stella svojou kvalitou, krásnym vzhľadom a jednoduchým používaním. V rámci radu Stella si môžete vybrať z troch rôznych modelov: Stella 3201, Stella 3221 a Stella 4311.
Čím je plynový gril Stella 4311 taký výnimočný? Plynový gril Stella od spoločnosti Barbecook je nepochybne fantastický výrobok: krásny, s matným čiernym povrchom a striebornými detailmi, mimoriadne užívateľsky prívetivý a najvyššej kvality. Tento plynový gril sa dá zapáliť v 1-2-3 nastaveniach a zaručuje výnimočné výsledky grilovania. Má smaltované liatinové rošty a centrálna, najhorúcejšia časť - Dynamic Core Grill - je navrhnutá tak, aby sa rošt dal vybrať a nahradiť užitočnými nástrojmi, ako je napríklad platňa na pizzu alebo varná doska. Skrátka, s plynovým grilom Stella je možné takmer všetko! Vďaka smaltovanému, dvojstennému veku a zabudovanému teplomeru máte maximálnu kontrolu. Nie všetky ingrediencie majú rovnaký čas prípravy, takže niektoré pokrmy sú pripravené rýchlejšie ako iné. To však nie je problém. Po uvarení môžete jedlo udržiavať teplé na špeciálnom ohrievacom stojane v plynovom grile. Pri grilovaní môže vzniknúť veľa tuku, ktorý sa zhromažďuje vo vstavanej odkvapkávacej miske. Po grilovaní jednoducho vložte odkvapkávaciu misku do umývačky riadu. Je dobré vedieť, že všetky modely plynových grilov Stella možno kombinovať so súpravou otočných ražňov Barbecook.
Ako funguje plynový gril Stella 4311? Uvedenie plynového grilu Stella 4311 do prevádzky je mimoriadne jednoduché. Najprv otvorte veko plynového grilu a potom otvorte kohútik plynovej fľaše. Nechajte plyn prúdiť do plynového grilu. Potom otočte ovládacie gombíky do najvyššej polohy. Tie sú pripojené ku každému horáku. Keď uvidíte plameň, zatvorte veko a nechajte spotrebič zahrievať približne 10 až 15 minút. Potom môžete začať grilovať! Pri grilovaní na plyne sa odporúča používať propán. Nezabudnite si kúpiť správny regulátor plynu. Ten zníži tlak v plynovej fľaši. Tlak v plynovej fľaši je často oveľa vyšší, ako gril potrebuje. Nezabudnite pravidelne kontrolovať dátum na plynovom potrubí. Štandardné plynové potrubia majú životnosť 5 až 10 rokov.
S plynovým grilom Stella 4311 môžete obslúžiť až 14 osôb. Tento model má štyri horáky a tri rošty, jeden s rozmermi 35x43 cm a dva s rozmermi 17x43 cm. Má tiež mimoriadne dlhý sklápací bočný stolík s tromi praktickými prídavnými háčikmi. Plynový gril Stella 4311 má aj infračervený bočný horák s grilovacou mriežkou, ktorý sa dokáže zahriať až na 700 °C. Ľahko sa premiestňuje vďaka štyrom kolieskam na spodnej časti zariadenia. Okrem toho má gril Stella 4311 úložný priestor s dvierkami.
Nenechajte si ujsť grilovaciu sezónu bez grilu. Pozvite svojich priateľov a rodinu na grilovanie vonku. Barbecook Stella 4311 bude vaším verným spoločníkom.</t>
        </is>
      </c>
    </row>
    <row r="8">
      <c r="A8" s="3" t="inlineStr">
        <is>
          <t>BC-GAS-2003</t>
        </is>
      </c>
      <c r="B8" s="2" t="inlineStr">
        <is>
          <t>Gril BC-GAS-2003 Spring 3212 plynový gril s úložným priestorom, bočný horák, 133 x 57 x 115 cm</t>
        </is>
      </c>
      <c r="C8" s="1" t="n">
        <v>536.9</v>
      </c>
      <c r="D8" s="7" t="n">
        <f>HYPERLINK("https://www.somogyi.sk/product/gril-bc-gas-2003-spring-3212-plynovy-gril-s-uloznym-priestorom-bocny-horak-133-x-57-x-115-cm-bc-gas-2003-18807","https://www.somogyi.sk/product/gril-bc-gas-2003-spring-3212-plynovy-gril-s-uloznym-priestorom-bocny-horak-133-x-57-x-115-cm-bc-gas-2003-18807")</f>
        <v>0.0</v>
      </c>
      <c r="E8" s="7" t="n">
        <f>HYPERLINK("https://www.somogyi.sk/data/img/product_main_images/small/18807.jpg","https://www.somogyi.sk/data/img/product_main_images/small/18807.jpg")</f>
        <v>0.0</v>
      </c>
      <c r="F8" s="2" t="inlineStr">
        <is>
          <t>5400269210564</t>
        </is>
      </c>
      <c r="G8" s="4" t="inlineStr">
        <is>
          <t>Hľadáte gril, ktorý ponúka jednoduchosť a všestrannosť zároveň? Plynový gril Barbecook BC-GAS-2003 Spring 3212 spĺňa všetky vaše potreby na kompletné varenie vonku bez toho, aby ste museli obetovať pohodlie. 
Spoločnosť Barbecook ponúka rôzne modely plynových grilov, z ktorých všetky vynikajú kvalitou, vzhľadom a jednoduchým používaním. Rad Spring je k dispozícii v štyroch rôznych formátoch: Spring 2002, Spring 3002, Spring 3112 a Spring 3212.
Plynový gril Spring 3212 ponúka množstvo výhod. Tento typ grilu sa mimoriadne ľahko a rýchlo zapáli, takže nemusíte strácať čas a môžete hneď začať grilovať. Plynový gril je robustný nástroj, ktorý vám umožní pripraviť širokú škálu pokrmov: klasické BBQ klobásy, pizzu alebo dokonca koláče. Smaltované veko a zabudovaný teplomer vám poskytnú maximálnu kontrolu nad pokrmom. Mriežky plynového grilu Spring 3212 sú vyrobené zo smaltovanej liatiny, ktorá je ideálna na rovnomernú a dobrú prípravu vašich surovín. Ak grilujete niekoľko surovín naraz a jedna je už hotová, jednoducho ju položte na ohrievaciu mriežku, zatiaľ čo sa ostatné pripravujú. Vstavaná odkvapkávacia miska, ktorá sa dá umývať v umývačke riadu, zachytáva tuk z vašich pokrmov. Plynový gril Spring 3212 je vybavený dvoma kolieskami na ľahkú mobilitu.
Plynový gril Spring 3212 sa mimoriadne ľahko používa. Najprv otvorte veko plynového grilu a potom otvorte plynovú fľašu. Nechajte plyn prúdiť cez gril. Potom otočte ovládacie gombíky do najvyššej polohy. Tie sú pripojené ku každému horáku. Keď uvidíte plameň, zatvorte veko a nechajte gril zohrievať približne 10-15 minút. Potom môžete začať grilovať! Pri používaní plynového grilu sa odporúča používať propán a nezabudnite si kúpiť zodpovedajúci regulátor plynu. Ten znižuje tlak plynovej fľaše, ktorý je často oveľa vyšší, než gril potrebuje. Pravidelne kontrolujte dátum na plynovom potrubí. Štandardné plynové potrubia majú životnosť 5 až 10 rokov.
Špecifikácie plynového grilu Spring 3212. Súčasťou grilu Spring 3212 je pevný bočný stolík a bočný horák. Bočný horák je užitočný napríklad na prípravu omáčok alebo príloh. Má tiež odkladací priestor s dvierkami. Je tiež dobré vedieť, že tento plynový gril môžete kombinovať so súpravou otočných ražňov Barbecook.
Neuspokojte sa s priemernou kvalitou! Vyberte si plynový gril Barbecook BC-GAS-2003 Spring 3212, aby ste mohli grilovať vonku počas celej sezóny.</t>
        </is>
      </c>
    </row>
    <row r="9">
      <c r="A9" s="3" t="inlineStr">
        <is>
          <t>BC-GAS-2073</t>
        </is>
      </c>
      <c r="B9" s="2" t="inlineStr">
        <is>
          <t>Barbecook BC-GAS-2073 Plynový gril Siesta 412 Graphite s úložným priestorom, bočný horák, 132x56x118cm</t>
        </is>
      </c>
      <c r="C9" s="1" t="n">
        <v>821.9</v>
      </c>
      <c r="D9" s="7" t="n">
        <f>HYPERLINK("https://www.somogyi.sk/product/barbecook-bc-gas-2073-plynovy-gril-siesta-412-graphite-s-uloznym-priestorom-bocny-horak-132x56x118cm-bc-gas-2073-18811","https://www.somogyi.sk/product/barbecook-bc-gas-2073-plynovy-gril-siesta-412-graphite-s-uloznym-priestorom-bocny-horak-132x56x118cm-bc-gas-2073-18811")</f>
        <v>0.0</v>
      </c>
      <c r="E9" s="7" t="n">
        <f>HYPERLINK("https://www.somogyi.sk/data/img/product_main_images/small/18811.jpg","https://www.somogyi.sk/data/img/product_main_images/small/18811.jpg")</f>
        <v>0.0</v>
      </c>
      <c r="F9" s="2" t="inlineStr">
        <is>
          <t>5404035700846</t>
        </is>
      </c>
      <c r="G9" s="4" t="inlineStr">
        <is>
          <t>Chcete plynový gril, ktorý sa ľahko používa a je všestranný? Plynový gril Barbecook BC-GAS-2024 Siesta 412 Graphite je ideálnou voľbou pre tých, ktorí hľadajú plnohodnotný zážitok z varenia vonku bez toho, aby obetovali pohodlie. 
Spoločnosť Barbecook ponúka rôzne modely plynových grilov, pričom všetky sú vysoko kvalitné, majú krásny vzhľad a ľahko sa používajú. Model Siesta je jedným z radu plynových grilov od spoločnosti Barbecook. V rámci radu Siesta nájdete štyri rôzne modely: Siesta 210, Siesta 310, Siesta 412 a Siesta 612.
Plynový gril Siesta 412 má výhody štýlu, funkcií a používateľsky prívetivého ovládania. Tento vysokokvalitný plynový gril s odolným povrchom je ideálnou voľbou pre tých, ktorí chcú grilovať širokú škálu potravín. S plynovým grilom Siesta 412 môžete začať grilovať už za 10 minút. Dvojstenné smaltované veko zabezpečuje konštantnú teplotu vo vnútri plynového grilu. Zabudovaný teplomer navyše uľahčuje kontrolu teploty. Mriežky sú vyrobené zo smaltovanej liatiny, mimoriadne kvalitného materiálu, ktorý je ideálny na rovnomerné a dobré prepečenie vašich surovín. Fantastickou extra funkciou plynového grilu Siesta 412 je dynamické jadro grilu. Ide o centrálnu, najhorúcejšiu časť grilu. Je navrhnutý tak, aby sa grilovací rošt dal vybrať a nahradiť užitočným príslušenstvom, ako je napríklad doska na pizzu alebo plech na pečenie. Ešte viac možností! Na ohrievací rošt plynového grilu môžete umiestniť už pripravené suroviny, zatiaľ čo čakáte, kým sa zvyšok surovín upečie. 
Ľahko vyberateľná odkvapkávacia miska, ktorú možno umývať v umývačke riadu, zachytáva tuk z vašich pokrmov. Máte počas grilovania smäd? Žiadny problém, vďaka zabudovanému otváraču na fľaše si môžete vychutnať okamžité osvieženie! Je dobré vedieť, že plynový gril Siesta 412 možno kombinovať aj so súpravou otočných ražňov Barbecook.
Plynový gril Siesta 412 sa mimoriadne jednoducho používa. Najprv otvorte veko plynového grilu a potom otvorte kohútik plynovej fľaše. Nechajte plyn prúdiť do plynového grilu. Potom otočte ovládacie gombíky do najvyššej polohy. Tie sú pripojené ku každému horáku. Keď uvidíte plameň, zatvorte veko a nechajte spotrebič zahrievať približne 10 až 15 minút. Potom môžete začať grilovať! Pri používaní plynového grilu sa odporúča používať propán. Nezabudnite si kúpiť správny regulátor plynu. Ten zníži tlak v plynovej fľaši. Tlak v plynovej fľaši je často oveľa vyšší, ako gril potrebuje. Pravidelne kontrolujte dátum na plynovom potrubí. Štandardné plynové potrubia majú životnosť 5 až 10 rokov.
Plynový gril Siesta 412 môže slúžiť až 14 osobám. Má štyri horáky a tri rošty, jeden s rozmermi 35x43 cm a dva s rozmermi 17,5x43 cm. Okrem toho má tento plynový gril pevný stolík a bočný horák, ktorý je ideálny na prípravu omáčok alebo príloh. Plynový gil Siesta 412 sa ľahko premiestňuje vďaka štyrom kolieskam na spodnej časti spotrebiča. Okrem toho je tento plynový gril vybavený úložným priestorom vo dverách a vonkajším držiakom plynovej fľaše.
Ak hľadáte kompaktný, ale spoľahlivý plynový gril s extra funkciami, Siesta 412 bude pre vás tou správnou voľbou.</t>
        </is>
      </c>
    </row>
    <row r="10">
      <c r="A10" s="3" t="inlineStr">
        <is>
          <t>BC-GAS-2036</t>
        </is>
      </c>
      <c r="B10" s="2" t="inlineStr">
        <is>
          <t>Plynový gril Barbecook BC-GAS-2036 Stella 3201 s úložným priestorom, bočný horák, 174x59x119cm</t>
        </is>
      </c>
      <c r="C10" s="1" t="n">
        <v>635.9</v>
      </c>
      <c r="D10" s="7" t="n">
        <f>HYPERLINK("https://www.somogyi.sk/product/plynovy-gril-barbecook-bc-gas-2036-stella-3201-s-uloznym-priestorom-bocny-horak-174x59x119cm-bc-gas-2036-18781","https://www.somogyi.sk/product/plynovy-gril-barbecook-bc-gas-2036-stella-3201-s-uloznym-priestorom-bocny-horak-174x59x119cm-bc-gas-2036-18781")</f>
        <v>0.0</v>
      </c>
      <c r="E10" s="7" t="n">
        <f>HYPERLINK("https://www.somogyi.sk/data/img/product_main_images/small/18781.jpg","https://www.somogyi.sk/data/img/product_main_images/small/18781.jpg")</f>
        <v>0.0</v>
      </c>
      <c r="F10" s="2" t="inlineStr">
        <is>
          <t>5400269210526</t>
        </is>
      </c>
      <c r="G10" s="4" t="inlineStr">
        <is>
          <t>Chcete ľahko použiteľný a všestranný plynový gril, ktorý splní všetky vaše potreby pri grilovaní? Plynový gril Barbecook BC-GAS-2036 Stella 3201 je ideálnou voľbou pre tých, ktorí chcú mať sofistikovaný zážitok z varenia na čerstvom vzduchu a zároveň chcú pohodlie. 
Medzi rôznymi modelmi plynových grilov od spoločnosti Barbecook vyniká séria Stella svojou kvalitou, krásnym vzhľadom a jednoduchým používaním. V rámci radu Stella si môžete vybrať z troch rôznych modelov: Stella 3201, Stella 3221 a Stella 4311.
Čím je plynový gril Stella 3201 taký výnimočný? Plynový gril Stella od spoločnosti Barbecook je nepochybne fantastický výrobok: krásny, s matným čiernym povrchom a striebornými detailmi, mimoriadne užívateľsky prívetivý a najvyššej kvality. Tento plynový gril sa dá zapáliť v 1-2-3 nastaveniach a zaručuje výnimočné výsledky grilovania. Má smaltované liatinové rošty a centrálna, najhorúcejšia časť - Dynamic Core Grill - je navrhnutá tak, aby sa rošt dal vybrať a nahradiť užitočnými nástrojmi, ako je napríklad platňa na pizzu alebo grilovanie. Skrátka, s plynovým grilom Stella je možné takmer všetko! Vďaka smaltovanému dvojstennému veku a zabudovanému teplomeru máte maximálnu kontrolu. Nie všetky ingrediencie majú rovnaký čas prípravy, takže niektoré pokrmy sú pripravené rýchlejšie ako iné. To však nie je problém. Po uvarení môžete jedlo udržiavať teplé na špeciálnom ohrievacom stojane v plynovom grile. Pri grilovaní môže vzniknúť veľa tuku, ktorý sa zhromažďuje vo vstavanej odkvapkávacej miske. Po grilovaní jednoducho vložte odkvapkávaciu misku do umývačky riadu. Je dobré vedieť, že všetky modely plynových grilov Stella možno kombinovať so súpravou otočných ražňov Barbecook.
Ako funguje plynový gril Stella 3201? Uvedenie plynového grilu Stella 3201 do prevádzky je mimoriadne jednoduché. Najprv otvorte veko plynového grilu a potom otvorte kohútik plynovej fľaše. Nechajte plyn prúdiť do plynového grilu. Potom otočte ovládacie gombíky do najvyššej polohy. Tie sú pripojené ku každému horáku. Keď uvidíte plameň, zatvorte veko a nechajte spotrebič zahrievať približne 10 až 15 minút. Potom môžete začať grilovať! Pri grilovaní na plyne sa odporúča používať propán. Nezabudnite si kúpiť správny regulátor plynu. Ten zníži tlak v plynovej fľaši. Tlak v plynovej fľaši je často oveľa vyšší, ako gril potrebuje. Nezabudnite pravidelne kontrolovať dátum na plynovom potrubí. Štandardné plynové potrubia majú životnosť 5 až 10 rokov.
Špecifikácie plynového grilu Stella 3201. Tento model má tri horáky a tri rošty, z ktorých jeden má rozmery 35x43 cm, ostatné dva 17x43 cm. Okrem toho má plynový gril extra dlhý sklápací bočný stolík s tromi ďalšími háčikmi. Plynový gril Stella 3201 je vybavený aj bočným horákom ideálnym na prípravu omáčok alebo príloh. Tento model sa ľahko premiestňuje vďaka štyrom kolieskam na spodnej časti zariadenia. Okrem toho je plynový gril Stella 3201 vybavený dvierkami a skrinkou s úložným priestorom.
Nenechajte si ujsť grilovaciu sezónu bez grilu. Pozvite svojich priateľov a rodinu na vonkajšie grilovanie. Gril Stella 3201 bude vaším verným spoločníkom.</t>
        </is>
      </c>
    </row>
    <row r="11">
      <c r="A11" s="3" t="inlineStr">
        <is>
          <t>GRG02</t>
        </is>
      </c>
      <c r="B11" s="2" t="inlineStr">
        <is>
          <t>Plynový gril s bočným horákom</t>
        </is>
      </c>
      <c r="C11" s="1" t="n">
        <v>249.9</v>
      </c>
      <c r="D11" s="7" t="n">
        <f>HYPERLINK("https://www.somogyi.sk/product/plynovy-gril-s-bocnym-horakom-grg02-19071","https://www.somogyi.sk/product/plynovy-gril-s-bocnym-horakom-grg02-19071")</f>
        <v>0.0</v>
      </c>
      <c r="E11" s="7" t="n">
        <f>HYPERLINK("https://www.somogyi.sk/data/img/product_main_images/small/19071.jpg","https://www.somogyi.sk/data/img/product_main_images/small/19071.jpg")</f>
        <v>0.0</v>
      </c>
      <c r="F11" s="2" t="inlineStr">
        <is>
          <t>5999084970642</t>
        </is>
      </c>
      <c r="G11" s="4" t="inlineStr">
        <is>
          <t xml:space="preserve"> • N/A: 2 ks, na ľavej strane piezo zapaľovanie 
 • N/A: 3,2 kW 
 • N/A: 1 ks, piezo zapaľovanie 
 • N/A: 1 ks, piezo zapaľovanie 
 • N/A: 440 x 400 mm 
 •  
 • N/A: -20 -  50 °C 
 •  
 •  
 •  
 • N/A: 2 ks 
 • N/A: 2 ks 
 • rozmery: 1180 x 1055 x 530 mm 
 • hmotnosť: 26 kg</t>
        </is>
      </c>
    </row>
    <row r="12">
      <c r="A12" s="3" t="inlineStr">
        <is>
          <t>GRG01</t>
        </is>
      </c>
      <c r="B12" s="2" t="inlineStr">
        <is>
          <t>Plynový gril s bočným horákom</t>
        </is>
      </c>
      <c r="C12" s="1" t="n">
        <v>301.9</v>
      </c>
      <c r="D12" s="7" t="n">
        <f>HYPERLINK("https://www.somogyi.sk/product/plynovy-gril-s-bocnym-horakom-grg01-19070","https://www.somogyi.sk/product/plynovy-gril-s-bocnym-horakom-grg01-19070")</f>
        <v>0.0</v>
      </c>
      <c r="E12" s="7" t="n">
        <f>HYPERLINK("https://www.somogyi.sk/data/img/product_main_images/small/19070.jpg","https://www.somogyi.sk/data/img/product_main_images/small/19070.jpg")</f>
        <v>0.0</v>
      </c>
      <c r="F12" s="2" t="inlineStr">
        <is>
          <t>5999084970635</t>
        </is>
      </c>
      <c r="G12" s="4" t="inlineStr">
        <is>
          <t xml:space="preserve"> • N/A: 3 ks, stredný na piezo zapaľovanie 
 • N/A: 3,2 kW 
 • N/A: 1 ks, piezo zapaľovanie 
 • N/A: 3,2 kW 
 • N/A: 530 x 400 mm 
 •  
 • N/A: -20 -  50 °C 
 •  
 •  
 •  
 • N/A: 2 ks 
 • N/A: 2 ks 
 • rozmery: 1260 x 1055 x 530 mm 
 • hmotnosť: 29 kg</t>
        </is>
      </c>
    </row>
    <row r="13">
      <c r="A13" s="3" t="inlineStr">
        <is>
          <t>BC-GAS-2002</t>
        </is>
      </c>
      <c r="B13" s="2" t="inlineStr">
        <is>
          <t>Gril BC-GAS-2002 Spring 3112 plynový gril s úložným priestorom, 133x57x115cm</t>
        </is>
      </c>
      <c r="C13" s="1" t="n">
        <v>434.9</v>
      </c>
      <c r="D13" s="7" t="n">
        <f>HYPERLINK("https://www.somogyi.sk/product/gril-bc-gas-2002-spring-3112-plynovy-gril-s-uloznym-priestorom-133x57x115cm-bc-gas-2002-18752","https://www.somogyi.sk/product/gril-bc-gas-2002-spring-3112-plynovy-gril-s-uloznym-priestorom-133x57x115cm-bc-gas-2002-18752")</f>
        <v>0.0</v>
      </c>
      <c r="E13" s="7" t="n">
        <f>HYPERLINK("https://www.somogyi.sk/data/img/product_main_images/small/18752.jpg","https://www.somogyi.sk/data/img/product_main_images/small/18752.jpg")</f>
        <v>0.0</v>
      </c>
      <c r="F13" s="2" t="inlineStr">
        <is>
          <t>5400269209308</t>
        </is>
      </c>
      <c r="G13" s="4" t="inlineStr">
        <is>
          <t>Chcete plynový gril, ktorý sa ľahko používa a je všestranný? Plynový gril Barbecook Spring 3112 je ideálnou voľbou pre tých, ktorí chcú mať plnohodnotný zážitok z varenia vonku, ale zároveň ocenia pohodlie a kontrolu. Tento plynový gril by mohol byť ideálnou voľbou pre nadšencov grilovania, ktorí chcú rýchlo a jednoducho pripraviť rôzne pokrmy.
Výhody plynového grilu Spring 3112
Plynový gril Spring 3112 má mnoho výhod. Rýchlo a jednoducho sa zapáli, takže nemusíte strácať čas, ale môžete hneď začať grilovať. Je to spoľahlivý nástroj na prípravu širokej škály jedál: klasických grilovacích klobás, pizze alebo dokonca koláčov. Smaltovaný liatinový poklop a zabudovaný teplomer vám poskytujú maximálnu kontrolu nad grilom. Mriežky plynového grilu Spring 3112 sú vyrobené zo smaltovanej liatiny, ktorá dokonale a rovnomerne pripravuje suroviny. Ak grilujete niekoľko surovín naraz a jedna je už hotová, jednoducho ju položte na ohrievaciu mriežku, zatiaľ čo sa ostatné pripravujú! Tuky z vyprážania sa zhromažďujú v odkvapkávacej miske integrovanej do plynového grilu, ktorú možno umývať v umývačke riadu. Plynový gril Spring 3112 má dve kolieska na ľahkú mobilitu.
Ako plynový gril Spring 3112 funguje?
Zapálenie plynového grilu Spring 3112 je mimoriadne jednoduché. Najprv otvorte veko plynového grilu a potom otvorte ventil plynovej fľaše. Nechajte plyn cirkulovať vo vnútri plynového grilu. Potom otočte ovládacie gombíky do najvyššej polohy. Sú spojené s jednotlivými hlavami horákov. Keď uvidíte plameň, zatvorte veko a nechajte spotrebič zohrievať približne 10 až 15 minút. Potom môžete začať grilovať! Na grilovanie na plyne sa odporúča používať propán. Nezabudnite si kúpiť zodpovedajúci regulátor plynu na zníženie tlaku plynovej fľaše. Nezabudnite pravidelne kontrolovať dátum spotreby plynovej rúrky. Štandardné plynové potrubie má životnosť 5 až 10 rokov.
Plynové grily Spring 3112 v súhrne
Plynový gril Spring 3112 má tri horákové hlavy a tri rošty, každý s rozmermi 21 × 43 cm. S týmto zariadením môžete grilovať pre približne 10 osôb. Plynový gril Spring 3112 má pevný bočný stolík. Na druhej strane je zabudovaný servírovací podnos. Okrem toho je spotrebič vybavený odkladacím priestorom s možnosťou uzamknutia dverí. 
Vyberte si plynový gril Barbecook Spring 3112, aby ste si vy, vaša rodina a priatelia mohli vždy vychutnať správne kvalitné grilované jedlo.</t>
        </is>
      </c>
    </row>
    <row r="14">
      <c r="A14" s="3" t="inlineStr">
        <is>
          <t>BC-GAS-2024</t>
        </is>
      </c>
      <c r="B14" s="2" t="inlineStr">
        <is>
          <t>Barbecook BC-GAS-2024 Plynový gril Siesta 412 Black Edition s úložným priestorom, bočný horák, 132x56x120cm</t>
        </is>
      </c>
      <c r="C14" s="1" t="n">
        <v>656.9</v>
      </c>
      <c r="D14" s="7" t="n">
        <f>HYPERLINK("https://www.somogyi.sk/product/barbecook-bc-gas-2024-plynovy-gril-siesta-412-black-edition-s-uloznym-priestorom-bocny-horak-132x56x120cm-bc-gas-2024-18753","https://www.somogyi.sk/product/barbecook-bc-gas-2024-plynovy-gril-siesta-412-black-edition-s-uloznym-priestorom-bocny-horak-132x56x120cm-bc-gas-2024-18753")</f>
        <v>0.0</v>
      </c>
      <c r="E14" s="7" t="n">
        <f>HYPERLINK("https://www.somogyi.sk/data/img/product_main_images/small/18753.jpg","https://www.somogyi.sk/data/img/product_main_images/small/18753.jpg")</f>
        <v>0.0</v>
      </c>
      <c r="F14" s="2" t="inlineStr">
        <is>
          <t>5400269207519</t>
        </is>
      </c>
      <c r="G14" s="4" t="inlineStr">
        <is>
          <t>Chcete plynový gril, ktorý sa ľahko používa a je všestranný? Plynový gril Barbecook BC-GAS-2024 Siesta 412 Black Edition je ideálnou voľbou pre tých, ktorí hľadajú plnohodnotný zážitok z varenia vonku bez toho, aby obetovali pohodlie a ovládanie. 
Spoločnosť Barbecook ponúka rôzne modely plynových grilov, ktoré sú vysoko kvalitné, majú krásny vzhľad a ľahko sa používajú. Model Siesta je jedným z radu plynových grilov od spoločnosti Barbecook. V rámci radu Siesta nájdete štyri rôzne modely: Siesta 210, Siesta 310, Siesta 412 a Siesta 612.
Plynový gril Siesta 412 má výhody štýlu, funkcií a používateľsky prívetivého ovládania. Tento vysokokvalitný plynový gril s odolným povrchom je ideálnou voľbou pre tých, ktorí chcú grilovať širokú škálu potravín. S plynovým grilom Siesta 412 môžete začať grilovať už za 10 minút. Dvojstenné smaltované veko zabezpečuje konštantnú teplotu vo vnútri plynového grilu. Zabudovaný teplomer navyše uľahčuje kontrolu teploty. Mriežky sú vyrobené zo smaltovanej liatiny, mimoriadne kvalitného materiálu, ktorý je ideálny na rovnomerné a dobré prepečenie vašich surovín. Fantastickou extra funkciou plynového grilu Siesta 412 je dynamické jadro grilu. Ide o centrálnu, najhorúcejšiu časť grilu. Je navrhnutý tak, aby sa grilovací rošt dal vybrať a nahradiť užitočným príslušenstvom, ako je napríklad doska na pizzu alebo plech na pečenie. Ešte viac možností! Na ohrievací rošt plynového grilu môžete umiestniť už pripravené suroviny, zatiaľ čo čakáte, kým sa zvyšok surovín upečie. 
Ľahko vyberateľná odkvapkávacia miska, ktorú možno umývať v umývačke riadu, zachytáva tuk z vašich pokrmov. Máte počas grilovania smäd? Žiadny problém, vďaka zabudovanému otváraču na fľaše si môžete vychutnať okamžité osvieženie! Je dobré vedieť, že plynový gril Siesta 412 možno kombinovať aj so súpravou otočných ražňov Barbecook.
Plynový gril Siesta 412 sa mimoriadne jednoducho používa. Najprv otvorte veko plynového grilu a potom otvorte kohútik plynovej fľaše. Nechajte plyn prúdiť do plynového grilu. Potom otočte ovládacie gombíky do najvyššej polohy. Tie sú pripojené ku každému horáku. Keď uvidíte plameň, zatvorte veko a nechajte spotrebič zahrievať približne 10 až 15 minút. Potom môžete začať grilovať! Pri používaní plynového grilu sa odporúča používať propán. Nezabudnite si kúpiť správny regulátor plynu. Ten zníži tlak v plynovej fľaši. Tlak v plynovej fľaši je často oveľa vyšší, ako gril potrebuje. Pravidelne kontrolujte dátum na plynovom potrubí. Štandardné plynové potrubia majú životnosť 5 až 10 rokov.
Plynový gril Siesta 412 môže slúžiť až 14 osobám. Má štyri horáky a tri rošty, jeden s rozmermi 35x43 cm a dva s rozmermi 17,5x43 cm. Okrem toho má tento plynový gril pevný stolík a bočný horák, ktorý je ideálny na prípravu omáčok alebo príloh. Plynový gril Siesta 412 sa ľahko premiestňuje vďaka štyrom kolieskam na spodnej časti spotrebiča. Okrem toho je tento plynový gril vybavený úložným priestorom vo dverách a vonkajším držiakom plynovej fľaše.
Ak hľadáte kompaktný, ale spoľahlivý plynový gril s extra funkciami, Siesta 412 bude pre vás tou správnou voľbou.</t>
        </is>
      </c>
    </row>
    <row r="15">
      <c r="A15" s="3" t="inlineStr">
        <is>
          <t>BC-GAS-2031</t>
        </is>
      </c>
      <c r="B15" s="2" t="inlineStr">
        <is>
          <t>Gril BC-GAS-2031 Siesta 612 Black Edition plynový gril s úložným priestorom, bočný horák, horák na ražni, 143x56x120cm</t>
        </is>
      </c>
      <c r="C15" s="1" t="n">
        <v>815.9</v>
      </c>
      <c r="D15" s="7" t="n">
        <f>HYPERLINK("https://www.somogyi.sk/product/gril-bc-gas-2031-siesta-612-black-edition-plynovy-gril-s-uloznym-priestorom-bocny-horak-horak-na-razni-143x56x120cm-bc-gas-2031-18810","https://www.somogyi.sk/product/gril-bc-gas-2031-siesta-612-black-edition-plynovy-gril-s-uloznym-priestorom-bocny-horak-horak-na-razni-143x56x120cm-bc-gas-2031-18810")</f>
        <v>0.0</v>
      </c>
      <c r="E15" s="7" t="n">
        <f>HYPERLINK("https://www.somogyi.sk/data/img/product_main_images/small/18810.jpg","https://www.somogyi.sk/data/img/product_main_images/small/18810.jpg")</f>
        <v>0.0</v>
      </c>
      <c r="F15" s="2" t="inlineStr">
        <is>
          <t>5400269209452</t>
        </is>
      </c>
      <c r="G15" s="4" t="inlineStr">
        <is>
          <t>Chcete plynový gril, ktorý sa ľahko používa a je všestranný? Plynový gril Barbecook BC-GAS-2031 Siesta 612 Black Edition je ideálnou voľbou pre tých, ktorí hľadajú plnohodnotný zážitok z varenia vonku bez toho, aby obetovali pohodlie a ovládanie. 
Spoločnosť Barbecook ponúka rôzne modely plynových grilov, ktoré sú vysoko kvalitné, majú krásny vzhľad a ľahko sa používajú. Model Siesta je jedným z radu plynových grilov od spoločnosti Barbecook. V rámci radu Siesta nájdete štyri rôzne modely: Siesta 210, Siesta 310, Siesta 412 a Siesta 612.
Plynový gril Siesta 612 má výhody štýlu, funkcií a používateľsky prívetivého ovládania. Tento vysokokvalitný plynový gril s odolným povrchom je ideálnou voľbou pre tých, ktorí chcú grilovať širokú škálu potravín. S plynovým grilom Siesta 612 môžete začať grilovať už za 10 minút. Dvojstenné smaltované veko zabezpečuje konštantnú teplotu vo vnútri plynového grilu. Zabudovaný teplomer navyše uľahčuje kontrolu teploty. Mriežky sú vyrobené zo smaltovanej liatiny, mimoriadne kvalitného materiálu, ktorý je ideálny na rovnomerné a dobré prepečenie vašich surovín. Fantastickou extra funkciou plynového grilu Siesta 612 je dynamické jadro grilu. Ide o centrálnu, najhorúcejšiu časť grilu. Je navrhnutý tak, aby sa grilovací rošt dal vybrať a nahradiť užitočným príslušenstvom, ako je napríklad doska na pizzu alebo plech na pečenie. Ešte viac možností! Na ohrievací rošt plynového grilu môžete umiestniť už pripravené suroviny, zatiaľ čo čakáte, kým sa zvyšok surovín upečie. 
Ľahko vyberateľná odkvapkávacia miska, ktorú možno umývať v umývačke riadu, zachytáva tuk z vašich pokrmov. Máte počas grilovania smäd? Žiadny problém, vďaka zabudovanému otváraču na fľaše si môžete vychutnať okamžité osvieženie! Je dobré vedieť, že plynový gril Siesta 612 možno kombinovať aj so súpravou otočných ražňov Barbecook.
Plynový gril Siesta 612 sa mimoriadne jednoducho používa. Najprv otvorte veko plynového grilu a potom otvorte kohútik plynovej fľaše. Nechajte plyn prúdiť do plynového grilu. Potom otočte ovládacie gombíky do najvyššej polohy. Tie sú pripojené ku každému horáku. Keď uvidíte plameň, zatvorte veko a nechajte gril zahrievať približne 10 až 15 minút. Potom môžete začať grilovať! Pri používaní plynového grilu sa odporúča používať propán. Nezabudnite si kúpiť správny regulátor plynu. Ten zníži tlak v plynovej fľaši. Tlak v plynovej fľaši je často oveľa vyšší, ako gril potrebuje. Pravidelne kontrolujte dátum na plynovom potrubí. Štandardné plynové potrubia majú životnosť 5 až 10 rokov.
Plynový gril Siesta 612 môže slúžiť až pre 16 osôb. Má päť horákov a tri rošty, jeden s rozmermi 35 × 43 cm a dva s rozmermi 22,5 × 43 cm. Dodáva sa aj s hlavou s ražňovým horákom, ktorá ohrieva mäso na boku, napr. na otočnom ražni. Okrem toho má tento plynový gril pevný stolík a bočný horák, ktorý je ideálny na prípravu omáčok alebo príloh. Plynový gril Siesta 612 sa ľahko premiestňuje vďaka štyrom kolieskam na spodnej časti grilu. Okrem toho je tento plynový gril vybavený úložným priestorom s dvierkami a vonkajším držiakom na plynovú fľašu. Súčasťou úložného priestoru je aj odpadkový kôš a držiak na fľaše.
Ak hľadáte kompaktný, ale spoľahlivý plynový gril s extra funkciami, Siesta 612 bude pre vás tou správnou voľbou.</t>
        </is>
      </c>
    </row>
    <row r="16">
      <c r="A16" s="3" t="inlineStr">
        <is>
          <t>BC-GAS-2000</t>
        </is>
      </c>
      <c r="B16" s="2" t="inlineStr">
        <is>
          <t>Plynový gril Barbecook BC-GAS-2000 Spring 3002, 133x57x115cm</t>
        </is>
      </c>
      <c r="C16" s="1" t="n">
        <v>418.9</v>
      </c>
      <c r="D16" s="7" t="n">
        <f>HYPERLINK("https://www.somogyi.sk/product/plynovy-gril-barbecook-bc-gas-2000-spring-3002-133x57x115cm-bc-gas-2000-18745","https://www.somogyi.sk/product/plynovy-gril-barbecook-bc-gas-2000-spring-3002-133x57x115cm-bc-gas-2000-18745")</f>
        <v>0.0</v>
      </c>
      <c r="E16" s="7" t="n">
        <f>HYPERLINK("https://www.somogyi.sk/data/img/product_main_images/small/18745.jpg","https://www.somogyi.sk/data/img/product_main_images/small/18745.jpg")</f>
        <v>0.0</v>
      </c>
      <c r="F16" s="2" t="inlineStr">
        <is>
          <t>5400269209285</t>
        </is>
      </c>
      <c r="G16" s="4" t="inlineStr">
        <is>
          <t>Máte radi rýchle a jednoduché grilovanie bez toho, aby ste museli robiť kompromisy v oblasti všestrannosti? Potom je plynový gril Barbecook BC-GAS-2000 Spring 3002 určený práve pre vás! 
Tento plynový gril je veľmi užívateľsky prívetivý, je stelesnením všestrannosti. Medzi rôznymi modelmi plynových grilov od spoločnosti Barbecook vyniká séria Spring svojou kvalitou, jednoduchým používaním a krásnym vzhľadom. Model Spring 3002 je jedným z vlajkových modelov radu Spring, ktorý je k dispozícii v niekoľkých formátoch: Spring 2002, 3002, 3112 a 3212.
Medzi výhody plynového grilu Spring 3002 patrí jednoduché a rýchle zapaľovanie, vďaka ktorému môžete okamžite začať grilovať. Tento typ grilu je ideálny na prípravu širokej škály jedál: klasických grilovacích klobás, pizze alebo dokonca koláčov. Smaltované veko a zabudovaný teplomer vám poskytujú maximálnu kontrolu nad pokrmom. Mriežky plynového grilu Spring 3002 sú vyrobené zo smaltovanej liatiny, ktorá je ideálna na rovnomerné a dobre prepečené suroviny. Ak grilujete viacero surovín naraz a jedna je už hotová, jednoducho ju položte na ohrievaciu mriežku, zatiaľ čo sa ostatné pripravujú. Odkvapky sa zhromažďujú v odkvapkávacej miske, ktorú možno umývať v umývačke riadu a ktorá je súčasťou grilu. Plynový gril Spring 3002 je vybavený dvoma kolieskami na ľahkú mobilitu.
Plynový gril Spring 3002 sa mimoriadne jednoducho používa. Otvorte veko grilu, otvorte kohútik plynovej fľaše a nechajte plyn prúdiť cez gril. Potom otočte ovládacie gombíky do najvyššej polohy. Keď uvidíte plameň, zatvorte veko a nechajte spotrebič zohrievať približne 10-15 minút. Potom začnite grilovať! Pri používaní plynového grilu sa odporúča používať propán a nezabudnite si zaobstarať správny regulátor plynu na zníženie tlaku plynovej fľaše.
Špecifikácie plynového grilu Spring 3002. Má dva pevné bočné stolíky, ktoré poskytujú pohodlné miesto na príslušenstvo, koreniny alebo taniere plné ingrediencií. Okrem toho ho možno kombinovať so súpravou otočných špízov Barbecook, ktorá ponúka ešte viac možností grilovania.
Neuspokojte sa s menším množstvom! Barbecook Spring 3002 je dokonalým spoločníkom pri grilovaní.</t>
        </is>
      </c>
    </row>
    <row r="17">
      <c r="A17" s="3" t="inlineStr">
        <is>
          <t>BC-GAS-2014</t>
        </is>
      </c>
      <c r="B17" s="2" t="inlineStr">
        <is>
          <t>Barbecook BC-GAS-2014 Plynový gril Siesta 210 Black Edition s bočným horákom, 112x56x118cm</t>
        </is>
      </c>
      <c r="C17" s="1" t="n">
        <v>370.9</v>
      </c>
      <c r="D17" s="7" t="n">
        <f>HYPERLINK("https://www.somogyi.sk/product/barbecook-bc-gas-2014-plynovy-gril-siesta-210-black-edition-s-bocnym-horakom-112x56x118cm-bc-gas-2014-18809","https://www.somogyi.sk/product/barbecook-bc-gas-2014-plynovy-gril-siesta-210-black-edition-s-bocnym-horakom-112x56x118cm-bc-gas-2014-18809")</f>
        <v>0.0</v>
      </c>
      <c r="E17" s="7" t="n">
        <f>HYPERLINK("https://www.somogyi.sk/data/img/product_main_images/small/18809.jpg","https://www.somogyi.sk/data/img/product_main_images/small/18809.jpg")</f>
        <v>0.0</v>
      </c>
      <c r="F17" s="2" t="inlineStr">
        <is>
          <t>5400269209353</t>
        </is>
      </c>
      <c r="G17" s="4" t="inlineStr">
        <is>
          <t>Chcete plynový gril, ktorý sa ľahko používa a je všestranný? Plynový gril Barbecook BC-GAS-2014 Siesta 210 Black Edition je ideálnou voľbou pre tých, ktorí hľadajú plnohodnotný zážitok z varenia vonku bez toho, aby sa vzdali pohodlia a kontroly. 
Spoločnosť Barbecook ponúka rôzne modely plynových grilov, ktoré sú vysoko kvalitné, majú krásny vzhľad a ľahko sa používajú. Model Siesta je jedným z radu plynových grilov od spoločnosti Barbecook. V rámci radu Siesta nájdete štyri rôzne modely: Siesta 210, Siesta 310, Siesta 412 a Siesta 612.
Medzi výhody plynového grilu Siesta 210 patrí štýl, funkcie a užívateľsky prívetivé ovládanie. Tento vysokokvalitný plynový gril s odolným povrchom je ideálnou voľbou pre tých, ktorí chcú grilovať širokú škálu potravín. S plynovým grilom Siesta 210 môžete začať grilovať už za 10 minút. Dvojstenné smaltované veko zabezpečuje konštantnú teplotu vo vnútri plynového grilu. Zabudovaný teplomer navyše uľahčuje kontrolu teploty. Mriežky sú vyrobené zo smaltovanej liatiny, mimoriadne kvalitného materiálu, ktorý je ideálny na rovnomerné a dobré prepečenie vašich surovín. Fantastickou extra funkciou plynového grilu Siesta 210 je dynamické jadro grilu. Ide o centrálnu, najhorúcejšiu časť grilu. Je navrhnutá tak, aby sa grilovací rošt dal vybrať a nahradiť užitočným príslušenstvom, ako je napríklad doska na pizzu alebo platňa na pečenie. Ešte viac možností! Na ohrievací rošt plynového grilu môžete umiestniť už pripravené suroviny, zatiaľ čo čakáte, kým sa zvyšok surovín upečie. 
Ľahko vyberateľná odkvapkávacia miska, ktorú možno umývať v umývačke riadu, zachytáva tuk z vašich pokrmov. Máte počas grilovania smäd? Žiadny problém, vďaka zabudovanému otváraču na fľaše si môžete vychutnať okamžité osvieženie! Je dobré vedieť, že plynový gril Siesta 210 možno kombinovať aj so súpravou otočných ražňov Barbecook.
Plynový gril Siesta 210 sa mimoriadne jednoducho používa. Najprv otvorte veko plynového grilu a potom otvorte kohútik plynovej fľaše. Nechajte plyn prúdiť do plynového grilu. Potom otočte ovládacie gombíky do najvyššej polohy. Tie sú pripojené ku každému horáku. Keď uvidíte plameň, zatvorte veko a nechajte spotrebič zahrievať približne 10 až 15 minút. Potom môžete začať grilovať! Pri používaní plynového grilu sa odporúča používať propán. Nezabudnite si kúpiť správny regulátor plynu. Ten zníži tlak v plynovej fľaši. Tlak v plynovej fľaši je často oveľa vyšší, ako gril potrebuje. Pravidelne kontrolujte dátum na plynovom potrubí. Štandardné plynové potrubia majú životnosť 5 až 10 rokov.
Špecifikácie plynového grilu Siesta 210. Slovo ""malý"" však môže byť zavádzajúce, pretože tento plynový gril môže obslúžiť až 8 osôb. Má dva horáky a dva rošty s rozmermi 35 cm x 43 cm a 13,5 cm x 43 cm. Okrem toho je plynový gril vybavený aj pevným bočným stolíkom a bočným horákom, ktorý je ideálny na prípravu omáčok alebo príloh. Plynový gril Siesta 210 sa ľahko premiestňuje vďaka dvom veľkým kolieskam na spodnej časti zariadenia.
Malý rozmermi, ale výkonný! Ak hľadáte kompaktný, ale spoľahlivý plynový gril s extra funkciami, Siesta 210 je pre vás tou správnou voľbou.</t>
        </is>
      </c>
    </row>
    <row r="18">
      <c r="A18" s="6" t="inlineStr">
        <is>
          <t xml:space="preserve">   Grilovanie / Gril na drevené uhlie</t>
        </is>
      </c>
      <c r="B18" s="6" t="inlineStr">
        <is>
          <t/>
        </is>
      </c>
      <c r="C18" s="6" t="inlineStr">
        <is>
          <t/>
        </is>
      </c>
      <c r="D18" s="6" t="inlineStr">
        <is>
          <t/>
        </is>
      </c>
      <c r="E18" s="6" t="inlineStr">
        <is>
          <t/>
        </is>
      </c>
      <c r="F18" s="6" t="inlineStr">
        <is>
          <t/>
        </is>
      </c>
      <c r="G18" s="6" t="inlineStr">
        <is>
          <t/>
        </is>
      </c>
    </row>
    <row r="19">
      <c r="A19" s="3" t="inlineStr">
        <is>
          <t>BC-CHA-1007</t>
        </is>
      </c>
      <c r="B19" s="2" t="inlineStr">
        <is>
          <t>Barbecook BC-CHA-1007 Loewy 45 smaltovaný gril na drevené uhlie, čierny, priemer 43 cm</t>
        </is>
      </c>
      <c r="C19" s="1" t="n">
        <v>146.9</v>
      </c>
      <c r="D19" s="7" t="n">
        <f>HYPERLINK("https://www.somogyi.sk/product/barbecook-bc-cha-1007-loewy-45-smaltovany-gril-na-drevene-uhlie-cierny-priemer-43-cm-bc-cha-1007-18800","https://www.somogyi.sk/product/barbecook-bc-cha-1007-loewy-45-smaltovany-gril-na-drevene-uhlie-cierny-priemer-43-cm-bc-cha-1007-18800")</f>
        <v>0.0</v>
      </c>
      <c r="E19" s="7" t="n">
        <f>HYPERLINK("https://www.somogyi.sk/data/img/product_main_images/small/18800.jpg","https://www.somogyi.sk/data/img/product_main_images/small/18800.jpg")</f>
        <v>0.0</v>
      </c>
      <c r="F19" s="2" t="inlineStr">
        <is>
          <t>5400269202255</t>
        </is>
      </c>
      <c r="G19" s="4" t="inlineStr">
        <is>
          <t>Chcete zažiť autentický zážitok z grilovania, pri ktorom máte všetko pod kontrolou? Barbecook BC-CHA-1007 Loewy 45 smaltovaný gril na drevené uhlie je ideálnou voľbou pre všetky vaše grilovacie potreby. 
Tento gril umožňuje intenzívne a jemné grilovanie v troch rôznych výškach vďaka výškovo nastaviteľnému roštu a nastaviteľný systém prívodu vzduchu vám umožní dokonale kontrolovať oheň.
Vďaka ochrane proti vetru grilu Loewy 45 sa nebudete musieť obávať vetra, zatiaľ čo grilovací rošt z nehrdzavejúcej ocele ponúka vynikajúcu odolnosť a jednoduché čistenie. Vďaka systémom QuickStart® a QuickStop je zapálenie a zastavenie grilu hračkou. Vďaka zberaču popola a robustnému držiaku je postarané aj o bezpečnosť a skladovanie príslušenstva.
Gril na drevené uhlie Loewy 45 sa ľahko používa: so systémom QuickStart® ho zapálite za niekoľko minút. Stačí do zapaľovacej trubice vložiť zrolované noviny a potom do základne grilu vložiť drevené uhlie alebo brikety. Pomocou nastaviteľného prívodu vzduchu zabezpečte správne prúdenie vzduchu a potom zapáľte novinový papier cez zapaľovaciu trubicu. Približne po 15 minútach sa drevené uhlie/brikety rozžiaria na bielo a môžete začať grilovať. Vďaka systému QuickStop môžete po skončení grilovania ľahko a bezpečne uhasiť žeravé uhlíky.
Medzi vlastnosti grilu Loewy 45 patrí grilovací rošt z nehrdzavejúcej ocele s výškou 97 cm a priemerom 43 cm, ktorý poskytuje dostatočnú grilovaciu plochu až pre 6 osôb. Náš čierny oceľový smaltovaný gril je vybavený systémami QuickStart® a QuickStop, ktoré zaručujú jednoduché používanie a čistenie.
Vyskúšajte výhody grilu na drevené uhlie Barbecook Loewy 45 a splňte si svoje grilovacie sny vďaka nástroju, ktorý je nielen praktický, ale môže byť aj štýlovým doplnkom každej záhrady alebo terasy. Začnite grilovať s grilom Loewy 45 ešte dnes!</t>
        </is>
      </c>
    </row>
    <row r="20">
      <c r="A20" s="3" t="inlineStr">
        <is>
          <t>BC-CHA-1019</t>
        </is>
      </c>
      <c r="B20" s="2" t="inlineStr">
        <is>
          <t>Barbecook BC-CHA-1019 Stolný gril na drevené uhlie Carlo, červený, 44x33x21cm</t>
        </is>
      </c>
      <c r="C20" s="1" t="n">
        <v>203.9</v>
      </c>
      <c r="D20" s="7" t="n">
        <f>HYPERLINK("https://www.somogyi.sk/product/barbecook-bc-cha-1019-stolny-gril-na-drevene-uhlie-carlo-cerveny-44x33x21cm-bc-cha-1019-18751","https://www.somogyi.sk/product/barbecook-bc-cha-1019-stolny-gril-na-drevene-uhlie-carlo-cerveny-44x33x21cm-bc-cha-1019-18751")</f>
        <v>0.0</v>
      </c>
      <c r="E20" s="7" t="n">
        <f>HYPERLINK("https://www.somogyi.sk/data/img/product_main_images/small/18751.jpg","https://www.somogyi.sk/data/img/product_main_images/small/18751.jpg")</f>
        <v>0.0</v>
      </c>
      <c r="F20" s="2" t="inlineStr">
        <is>
          <t>5400269210908</t>
        </is>
      </c>
      <c r="G20" s="4" t="inlineStr">
        <is>
          <t>Chcete grilovať v mestskom parku, v kempe alebo dokonca na terase? Stolný gril na drevené uhlie Barbecook BC-CHA-1019 vám dáva možnosť znovuobjaviť varenie vonku kdekoľvek a kedykoľvek budete chcieť! 
Tento prenosný, farebný gril je ideálnou voľbou na spontánne grilovacie párty, či už v slnečnej žltej, nebeskej modrej, chilli červenej, mestskej sivej alebo vojenskej zelenej farbe - zaručene vytvorí skvelú atmosféru! Napriek mimoriadne kompaktným rozmerom (44 × 33 × 21 cm) sa na stolný gril Carlo zmestí porcia až pre šesť osôb, a to doma alebo na cestách. Navyše vďaka praktickej taške na prenášanie si tento štýlový gril môžete ľahko vziať so sebou. Tento model je mimoriadne bezpečný na používanie aj s deťmi: Carlo s názvom ""Cool Boy"" zostáva zvonku vždy chladný a vďaka vyvýšenému okraju jedlo z grilu nespadne. Tým sa predíde popáleninám a spadnutým pochúťkam.
Ako stolný gril Carlo funguje?
Používanie stolného grilu Carlo je veľmi jednoduché, je však nevyhnutné pozorne dodržiavať návod. Tento štýlový gril sa prevádzkuje pomocou batérií (ventilátor pre stály a nastaviteľný plameň) a dreveného uhlia, pričom dôležité je používať kvalitné drevené uhlie. Čo je ideálnou voľbou? Veľké, vzdušné uhlie v matnej čiernej farbe, ktoré zabezpečuje lepšiu cirkuláciu kyslíka a rýchlejšie rozžeravenie uhlíkov. Vyhnite sa malým kúskom a vrecúškam s veľkým množstvom prachu. Okrem dreveného uhlia môžete potrebovať aj tri podpaľovacie kocky a dlhé zápalky alebo zapaľovač (Barbecook BC-ACC-7448). Po naplnení zásobníka na drevené uhlie dreveným uhlím a zápalkami zapáľte kocky a nastavte ovládací gombík na stolnom grile na najvyššie nastavenie. Tým sa ovláda elektrický ventilátor, ktorý zabezpečuje dostatočnú cirkuláciu vzduchu na udržanie tlejúceho dreveného uhlia. Keď je drevené uhlie pokryté tenkou vrstvou sivého popola, nasaďte veko zásobníka a potom rošt. Teraz môžete ventilátor ovládať sami. Otočte gombík na vyššie nastavenie a ventilátor sa bude otáčať rýchlejšie, čím sa do zásobníka na drevené uhlie dostane viac vzduchu a oheň sa zintenzívni. 
Ako čistiť stolný gril Carlo?
Po skončení grilovania nechajte gril pred čistením úplne vychladnúť. Všetky časti stolného grilu Carlo sa dajú ľahko rozobrať a väčšinu z nich možno umývať v umývačke riadu. Môžete zvoliť aj čistenie dielov vlhkou špongiou. Gril môžete čistiť aj penovým čistiacim prostriedkom Barbecook. Pred odložením grilu sa uistite, že je úplne suchý! V ideálnom prípade by mal byť Carlo uložený v interiéri vo vhodnej taške. 
Vyberte si stolný gril na drevené uhlie Barbecook BC-CHA-1016 Carlo Yellow a doprajte si dokonalý relax!</t>
        </is>
      </c>
    </row>
    <row r="21">
      <c r="A21" s="3" t="inlineStr">
        <is>
          <t>BC-CHA-1004</t>
        </is>
      </c>
      <c r="B21" s="2" t="inlineStr">
        <is>
          <t>Barbecook BC-CHA-1004 Loewy 55 SST nerezový gril na drevené uhlie, 55x33x101cm</t>
        </is>
      </c>
      <c r="C21" s="1" t="n">
        <v>256.9</v>
      </c>
      <c r="D21" s="7" t="n">
        <f>HYPERLINK("https://www.somogyi.sk/product/barbecook-bc-cha-1004-loewy-55-sst-nerezovy-gril-na-drevene-uhlie-55x33x101cm-bc-cha-1004-18799","https://www.somogyi.sk/product/barbecook-bc-cha-1004-loewy-55-sst-nerezovy-gril-na-drevene-uhlie-55x33x101cm-bc-cha-1004-18799")</f>
        <v>0.0</v>
      </c>
      <c r="E21" s="7" t="n">
        <f>HYPERLINK("https://www.somogyi.sk/data/img/product_main_images/small/18799.jpg","https://www.somogyi.sk/data/img/product_main_images/small/18799.jpg")</f>
        <v>0.0</v>
      </c>
      <c r="F21" s="2" t="inlineStr">
        <is>
          <t>5400269207465</t>
        </is>
      </c>
      <c r="G21" s="4" t="inlineStr">
        <is>
          <t>Hľadáte skutočne autentický zážitok z grilovania? Gril na drevené uhlie Barbecook Loewy 55 SST z nehrdzavejúcej ocele sa vďaka 3 nastaviteľným grilovacím roštom prispôsobí všetkým štýlom grilovania. Dokonalá kontrola ohňa je zabezpečená vďaka nastaviteľnému prívodu vzduchu, zatiaľ čo ochrana proti vetru zaručuje, že vás pri grilovaní nebude nič rušiť.
Gril z nehrdzavejúcej ocele je nielen odolný, ale aj ľahko sa čistí. Vďaka systémom QuickStart® a QuickStop možno gril rýchlo zapáliť a bezpečne uzavrieť, zatiaľ čo popolník zabezpečuje čistotu. Vlajková loď ikonického radu grilov na drevené uhlie značky Barbecook Loewy si svojím elegantným dizajnom určite získa srdcia.
Čím sa gril na drevené uhlie Loewy 55 SST odlišuje?
Zapálenie grilu na drevené uhlie nebolo nikdy jednoduchšie ako pri grile Loewy 55 SST vďaka systému QuickStart®. S malým množstvom papiera a správnou technikou sa grilovanie môže začať hneď. Vďaka výškovo nastaviteľnému grilovaciemu roštu a jemne regulovateľnému prívodu vzduchu sú všetky pripravované pokrmy dokonale pripravené. Gril je vybavený vochranou proti vetru a odolá takmer každému počasiu, zatiaľ čo grilovací rošt z nehrdzavejúcej ocele zaručuje dlhú životnosť.
Ako funguje gril na drevené uhlie Loewy 55 SST?
Vďaka systému QuickStart® &amp; QuickStop je používanie grilu na drevené uhlie mimoriadne jednoduché. Po zapálení môžete vďaka nastaviteľným grilovacím roštom grilovať jedlo intenzívne alebo jemne. Vďaka systému QuickStop sa na konci grilovania uhlíky jednoducho a bezpečne uhasia. Gril na drevené uhlie Loewy 55 SST s výškou 101 cm má grilovaciu plochu pre 10 osôb a obsahuje systémy QuickStart® aj QuickStop.
Objavte všetky výhody grilu na drevené uhlie Loewy 55 SST a urobte si autentický zážitok z grilovania ešte dnes!</t>
        </is>
      </c>
    </row>
    <row r="22">
      <c r="A22" s="3" t="inlineStr">
        <is>
          <t>BC-CHA-1015</t>
        </is>
      </c>
      <c r="B22" s="2" t="inlineStr">
        <is>
          <t>Barbecook BC-CHA-1015 Stolný gril na drevené uhlie Carlo, sivý, 44x33x21cm</t>
        </is>
      </c>
      <c r="C22" s="1" t="n">
        <v>203.9</v>
      </c>
      <c r="D22" s="7" t="n">
        <f>HYPERLINK("https://www.somogyi.sk/product/barbecook-bc-cha-1015-stolny-gril-na-drevene-uhlie-carlo-sivy-44x33x21cm-bc-cha-1015-18718","https://www.somogyi.sk/product/barbecook-bc-cha-1015-stolny-gril-na-drevene-uhlie-carlo-sivy-44x33x21cm-bc-cha-1015-18718")</f>
        <v>0.0</v>
      </c>
      <c r="E22" s="7" t="n">
        <f>HYPERLINK("https://www.somogyi.sk/data/img/product_main_images/small/18718.jpg","https://www.somogyi.sk/data/img/product_main_images/small/18718.jpg")</f>
        <v>0.0</v>
      </c>
      <c r="F22" s="2" t="inlineStr">
        <is>
          <t>5400269209278</t>
        </is>
      </c>
      <c r="G22" s="4" t="inlineStr">
        <is>
          <t>Chcete grilovať v mestskom parku, v kempe alebo dokonca na terase? Stolný gril na drevené uhlie Barbecook BC-CHA-1015 vám dáva možnosť znovuobjaviť varenie vonku kdekoľvek a kedykoľvek budete chcieť! 
Tento prenosný, farebný gril je ideálnou voľbou na spontánne grilovacie párty, či už v slnečnej žltej, nebeskej modrej, chilli červenej, mestskej sivej alebo vojenskej zelenej farbe - zaručene vytvorí skvelú atmosféru! Napriek mimoriadne kompaktným rozmerom (44 × 33 × 21 cm) sa na stolný gril Carlo zmestí porcia až pre šesť osôb, a to doma alebo na cestách. Navyše vďaka praktickej taške na prenášanie si tento štýlový gril môžete ľahko vziať so sebou. Tento model je mimoriadne bezpečný na používanie aj s deťmi: Carlo s názvom ""Cool Boy"" zostáva zvonku vždy chladný a vďaka vyvýšenému okraju jedlo z grilu nespadne. Tým sa predíde popáleninám a spadnutým pochúťkam.
Ako stolný gril Carlo funguje?
Používanie stolného grilu Carlo je veľmi jednoduché, je však nevyhnutné pozorne dodržiavať návod. Tento štýlový gril sa prevádzkuje pomocou batérií (ventilátor pre stály a nastaviteľný plameň) a dreveného uhlia, pričom dôležité je používať kvalitné drevené uhlie. Čo je ideálnou voľbou? Veľké, vzdušné uhlie v matnej čiernej farbe, ktoré zabezpečuje lepšiu cirkuláciu kyslíka a rýchlejšie rozžeravenie uhlíkov. Vyhnite sa malým kúskom a vrecúškam s veľkým množstvom prachu. Okrem dreveného uhlia môžete potrebovať aj tri podpaľovacie kocky a dlhé zápalky alebo zapaľovač (Barbecook BC-ACC-7448). Po naplnení zásobníka na drevené uhlie dreveným uhlím a zápalkami zapáľte kocky a nastavte ovládací gombík na stolnom grile na najvyššie nastavenie. Tým sa ovláda elektrický ventilátor, ktorý zabezpečuje dostatočnú cirkuláciu vzduchu na udržanie tlejúceho dreveného uhlia. Keď je drevené uhlie pokryté tenkou vrstvou sivého popola, nasaďte veko zásobníka a potom rošt. Teraz môžete ventilátor ovládať sami. Otočte gombík na vyššie nastavenie a ventilátor sa bude otáčať rýchlejšie, čím sa do zásobníka na drevené uhlie dostane viac vzduchu a oheň sa zintenzívni. 
Ako čistiť stolný gril Carlo?
Po skončení grilovania nechajte gril pred čistením úplne vychladnúť. Všetky časti stolného grilu Carlo sa dajú ľahko rozobrať a väčšinu z nich možno umývať v umývačke riadu. Môžete zvoliť aj čistenie dielov vlhkou špongiou. Gril môžete čistiť aj penovým čistiacim prostriedkom Barbecook. Pred odložením grilu sa uistite, že je úplne suchý! V ideálnom prípade by mal byť Carlo uložený v interiéri vo vhodnej taške. 
Vyberte si stolný gril na drevené uhlie Barbecook BC-CHA-1016 Carlo Yellow a doprajte si dokonalý relax!</t>
        </is>
      </c>
    </row>
    <row r="23">
      <c r="A23" s="3" t="inlineStr">
        <is>
          <t>GR02</t>
        </is>
      </c>
      <c r="B23" s="2" t="inlineStr">
        <is>
          <t>Gril guľový, s krytom</t>
        </is>
      </c>
      <c r="C23" s="1" t="n">
        <v>51.69</v>
      </c>
      <c r="D23" s="7" t="n">
        <f>HYPERLINK("https://www.somogyi.sk/product/gril-gulovy-s-krytom-gr02-18395","https://www.somogyi.sk/product/gril-gulovy-s-krytom-gr02-18395")</f>
        <v>0.0</v>
      </c>
      <c r="E23" s="7" t="n">
        <f>HYPERLINK("https://www.somogyi.sk/data/img/product_main_images/small/18395.jpg","https://www.somogyi.sk/data/img/product_main_images/small/18395.jpg")</f>
        <v>0.0</v>
      </c>
      <c r="F23" s="2" t="inlineStr">
        <is>
          <t>5999084964139</t>
        </is>
      </c>
      <c r="G23" s="4" t="inlineStr">
        <is>
          <t xml:space="preserve"> • N/A: drevené uhlie, drevená briketa 
 • N/A: 1 kg 
 • N/A: Ø46,5 cm (smaltovaná oceľ) 
 • hmotnosť: 4,7 kg 
 • N/A: Ø43,5 cm (chrómovaná oceľ) 
 • N/A: 64 cm od podlahy 
 •  
 • rozmery: rozmery: 48 x 87 x 60 cm</t>
        </is>
      </c>
    </row>
    <row r="24">
      <c r="A24" s="3" t="inlineStr">
        <is>
          <t>BC-CHA-1069</t>
        </is>
      </c>
      <c r="B24" s="2" t="inlineStr">
        <is>
          <t>Barbecook BC-CHA-1069 Magnus premium gril na drevené uhlie, čierny, 85x64x110cm</t>
        </is>
      </c>
      <c r="C24" s="1" t="n">
        <v>576.9</v>
      </c>
      <c r="D24" s="7" t="n">
        <f>HYPERLINK("https://www.somogyi.sk/product/barbecook-bc-cha-1069-magnus-premium-gril-na-drevene-uhlie-cierny-85x64x110cm-bc-cha-1069-18750","https://www.somogyi.sk/product/barbecook-bc-cha-1069-magnus-premium-gril-na-drevene-uhlie-cierny-85x64x110cm-bc-cha-1069-18750")</f>
        <v>0.0</v>
      </c>
      <c r="E24" s="7" t="n">
        <f>HYPERLINK("https://www.somogyi.sk/data/img/product_main_images/small/18750.jpg","https://www.somogyi.sk/data/img/product_main_images/small/18750.jpg")</f>
        <v>0.0</v>
      </c>
      <c r="F24" s="2" t="inlineStr">
        <is>
          <t>5404035700778</t>
        </is>
      </c>
      <c r="G24" s="4" t="inlineStr">
        <is>
          <t>Hľadáte skutočne všestranný gril na drevené uhlie, ktorý splní všetky vaše grilovacie potreby? Gril na drevené uhlie Barbecook BC-CHA-1069 Magnus je presne to, čo potrebujete. 
S týmto prémiovým grilom s flexibilnými liatinovými roštami veľkosti XL môžete obslúžiť až 14 osôb a zaručene bude stredobodom pozornosti na rodinných a priateľských stretnutiach.
Výklopné veko s mäkkou rukoväťou umožňuje udržiavanie tepla a rovnomernú prípravu pokrmov. Ohnisko zo smaltovanej ocele s hrúbkou 1 mm zaručuje dlhodobé používanie a vynikajúce udržiavanie tepla. Vďaka teplomeru integrovanému vo veku môžete získať presné informácie o aktuálnej teplote. Vďaka odolným kolieskam sa gril ľahko premiestňuje, zatiaľ čo mimoriadne široká základňa poskytuje maximálnu stabilitu, takže sa nemusíte obávať prevrátenia grilu.
Dokonale ergonomická 90 cm výška grilu Barbecook Magnus umožňuje pohodlné grilovanie počas dlhšej doby. Práškovo lakované bočné stolíky poskytujú nielen pohodlnú pracovnú plochu, ale sú vybavené aj háčikmi z nehrdzavejúcej ocele, aby ste mali grilovacie náradie vždy po ruke. Nastavenie nebolo nikdy jednoduchšie: so smaltovaným štartérom na drevené uhlie a košíkmi na drevené uhlie z nehrdzavejúcej ocele je založenie grilu a správne rozloženie uhlíkov hračkou. Naplňte gril kvalitným dreveným uhlím a užívajte si bezproblémové grilovanie pri príprave vašich obľúbených pokrmov.
Nenechajte si ujsť príležitosť zažiť nezabudnuteľné zážitky s grilom na drevené uhlie Barbecook BC-CHA-1069 Magnus Premium!</t>
        </is>
      </c>
    </row>
    <row r="25">
      <c r="A25" s="3" t="inlineStr">
        <is>
          <t>BC-CHA-1008</t>
        </is>
      </c>
      <c r="B25" s="2" t="inlineStr">
        <is>
          <t>Barbecook BC-CHA-1008 Loewy 50 smaltovaný gril na drevené uhlie, čierny, priemer 47,5 cm</t>
        </is>
      </c>
      <c r="C25" s="1" t="n">
        <v>195.9</v>
      </c>
      <c r="D25" s="7" t="n">
        <f>HYPERLINK("https://www.somogyi.sk/product/barbecook-bc-cha-1008-loewy-50-smaltovany-gril-na-drevene-uhlie-cierny-priemer-47-5-cm-bc-cha-1008-18742","https://www.somogyi.sk/product/barbecook-bc-cha-1008-loewy-50-smaltovany-gril-na-drevene-uhlie-cierny-priemer-47-5-cm-bc-cha-1008-18742")</f>
        <v>0.0</v>
      </c>
      <c r="E25" s="7" t="n">
        <f>HYPERLINK("https://www.somogyi.sk/data/img/product_main_images/small/18742.jpg","https://www.somogyi.sk/data/img/product_main_images/small/18742.jpg")</f>
        <v>0.0</v>
      </c>
      <c r="F25" s="2" t="inlineStr">
        <is>
          <t>5400269202187</t>
        </is>
      </c>
      <c r="G25" s="4" t="inlineStr">
        <is>
          <t>Chcete zažiť skutočný zážitok z grilovania? Barbecook Loewy 50 smaltovaný gril na drevené uhlie môže byť pre vás ideálnou voľbou, pretože ponúka intenzívne a chutné grilovanie vďaka trom úrovniam nastaviteľných grilovacích roštov. Dokonalú kontrolu ohňa zabezpečuje nastaviteľný prívod vzduchu, zatiaľ čo ochrana proti vetru chráni plameň pred silným vetrom.
Grilovací rošt z nehrdzavejúcej ocele je mimoriadne odolný a ľahko sa udržiava, vďaka čomu je gril Loewy 50 dlhotrvajúcim spoločníkom pri grilovaní. Vďaka systému QuickStart® a QuickStop je používanie grilu na drevené uhlie jednoduché a bezpečné. Popolník a robustný nosný systém zaisťujú bezpečnosť a skladovanie príslušenstva.
Čím je gril na drevené uhlie Loewy 50 výnimočný?
Zapálenie grilu na drevené uhlie môže byť často problém, ale so systémom Loewy 50 QuickStart® je to hračka. Stačí papier a správna technika a môžete začať grilovať. Výškovo nastaviteľný grilovací rošt a regulácia prúdenia vzduchu vám umožňujú dokonalú kontrolu nad ohňom. Ak fúka vietor, ochrana proti vetru grilu Loewy 50 vás ochráni, ale ak chcete mať absolútnu istotu, použite kupolu Barbecook, ktorá funguje ako poklop a jej reflexný efekt zaručuje dokonalý úspech vášho pokrmu.
Ako funguje gril na drevené uhlie Loewy 50?
Vďaka systému QuickStart® &amp; QuickStop sa gril na drevené uhlie Loewy 50 ľahko zapaľuje a bezpečne používa. Po skončení grilovania jednoducho opláchnite spodnú časť grilu vodou pomocou systému QuickStop, aby ste bezpečne uhasili žeravé uhlíky. Gril Loewy 50 je vysoký 99 cm a má okrúhly grilovací rošt z nehrdzavejúcej ocele s priemerom 47,5 cm, ktorý poskytuje dostatočnú grilovaciu plochu až pre 10 osôb. Gril je vyrobený z čiernej smaltovanej ocele pre štýlový vzhľad, zatiaľ čo systémy QuickStart® a QuickStop zabezpečujú jednoduché a bezpečné používanie.
Zoznámte sa s grilom Barbecook Loewy 50 a objavte skutočný zážitok z grilovania na drevenom uhlí!</t>
        </is>
      </c>
    </row>
    <row r="26">
      <c r="A26" s="3" t="inlineStr">
        <is>
          <t>GR01</t>
        </is>
      </c>
      <c r="B26" s="2" t="inlineStr">
        <is>
          <t>Prenosný gril</t>
        </is>
      </c>
      <c r="C26" s="1" t="n">
        <v>50.29</v>
      </c>
      <c r="D26" s="7" t="n">
        <f>HYPERLINK("https://www.somogyi.sk/product/prenosny-gril-gr01-18393","https://www.somogyi.sk/product/prenosny-gril-gr01-18393")</f>
        <v>0.0</v>
      </c>
      <c r="E26" s="7" t="n">
        <f>HYPERLINK("https://www.somogyi.sk/data/img/product_main_images/small/18393.jpg","https://www.somogyi.sk/data/img/product_main_images/small/18393.jpg")</f>
        <v>0.0</v>
      </c>
      <c r="F26" s="2" t="inlineStr">
        <is>
          <t>5999084964115</t>
        </is>
      </c>
      <c r="G26" s="4" t="inlineStr">
        <is>
          <t xml:space="preserve"> • charakteristiky: s dvojitou grilovacou plochou, ideálne na kempovanie, piknik • grilovanie s otvoreným alebo zatvoreným vekom • jednoduchá preprava pomocou drevenej rukoväte • oceľové nohy 
 • N/A: drevené uhlie, drevená briketa 
 • N/A: 1,5 kg/strana 
 • hmotnosť: 3 kg 
 • ďalšie informácie: 2 rošty, 2 mriežky na drevené uhlie 
 • N/A: 34 x 22,5 cm 
 • N/A: 22 cm od stola 
 • rozmery: rozmery: 41,5 x 44,5 x 30 cm</t>
        </is>
      </c>
    </row>
    <row r="27">
      <c r="A27" s="3" t="inlineStr">
        <is>
          <t>BC-CHA-1005</t>
        </is>
      </c>
      <c r="B27" s="2" t="inlineStr">
        <is>
          <t>Barbecook BC-CHA-1005 Loewy 50 SST nerezový gril na drevené uhlie, 51,5x56x99cm</t>
        </is>
      </c>
      <c r="C27" s="1" t="n">
        <v>233.9</v>
      </c>
      <c r="D27" s="7" t="n">
        <f>HYPERLINK("https://www.somogyi.sk/product/barbecook-bc-cha-1005-loewy-50-sst-nerezovy-gril-na-drevene-uhlie-51-5x56x99cm-bc-cha-1005-18743","https://www.somogyi.sk/product/barbecook-bc-cha-1005-loewy-50-sst-nerezovy-gril-na-drevene-uhlie-51-5x56x99cm-bc-cha-1005-18743")</f>
        <v>0.0</v>
      </c>
      <c r="E27" s="7" t="n">
        <f>HYPERLINK("https://www.somogyi.sk/data/img/product_main_images/small/18743.jpg","https://www.somogyi.sk/data/img/product_main_images/small/18743.jpg")</f>
        <v>0.0</v>
      </c>
      <c r="F27" s="2" t="inlineStr">
        <is>
          <t>5400269205157</t>
        </is>
      </c>
      <c r="G27" s="4" t="inlineStr">
        <is>
          <t>Máte chuť na pravý, tradičný gril na drevené uhlie a chcete, aby bol gril jednoduchý? Gril na drevené uhlie Barbecook BC-CHA-1005 Loewy 50 SST z nehrdzavejúcej ocele má nielen úžasný dizajn, ale vďaka výškovo nastaviteľnému roštu umožňuje aj intenzívne a chutné grilovanie na troch rôznych úrovniach.
Tento gril na drevené uhlie vám poskytuje dokonalú kontrolu nad ohňom vďaka nastaviteľnému prívodu vzduchu a ochrany proti vetru na grile. Gril z nehrdzavejúcej ocele je mimoriadne odolný a ľahko sa čistí, zatiaľ čo systémy QuickStart® a QuickStop uľahčujú zapálenie a bezpečné používanie grilu. Zberač popola v spodnej časti grilu tiež pomáha udržiavať ho v čistote a robustný držiak poskytuje pohodlné miesto na grilovacie príslušenstvo.
Výnimočnou vlastnosťou grilu Loewy 50 SST je systém QuickStart® &amp;amp; QuickStop, ktorý umožňuje jednoduché zapálenie a bezpečné vypnutie grilu. Základňa grilu sa dá naplniť vodou na začatie grilovania a na konci grilovania sa žeravé uhlíky dajú jednoducho zmiesť do vody na bezpečné odstránenie.
Medzi vlastnosti grilu Loewy 50 SST patrí výška 99 cm, nerezový grilovací rošt s priemerom 47,5 cm s dostatočným priestorom až pre 10 osôb. Náš strieborný nerezový gril je vybavený systémom QuickStart® a QuickStop, ktorý zaručuje jednoduché používanie a čistenie.
Objavte výhody grilu na drevené uhlie Barbecook Loewy 50 SST a vychutnajte si každý okamih pravého grilovania jednoducho a bezpečne. Tento gril je ideálnou voľbou pre tých, ktorí milujú špeciálne chute a tradičné grilovanie. Rozpáľte gril Loewy 50 SST a začnite grilovať ešte dnes!</t>
        </is>
      </c>
    </row>
    <row r="28">
      <c r="A28" s="3" t="inlineStr">
        <is>
          <t>BC-CHA-1020</t>
        </is>
      </c>
      <c r="B28" s="2" t="inlineStr">
        <is>
          <t>Barbecook BC-CHA-1020 Edson gril na drevené uhlie, čierny, priemer 47,5 cm</t>
        </is>
      </c>
      <c r="C28" s="1" t="n">
        <v>294.9</v>
      </c>
      <c r="D28" s="7" t="n">
        <f>HYPERLINK("https://www.somogyi.sk/product/barbecook-bc-cha-1020-edson-gril-na-drevene-uhlie-cierny-priemer-47-5-cm-bc-cha-1020-18801","https://www.somogyi.sk/product/barbecook-bc-cha-1020-edson-gril-na-drevene-uhlie-cierny-priemer-47-5-cm-bc-cha-1020-18801")</f>
        <v>0.0</v>
      </c>
      <c r="E28" s="7" t="n">
        <f>HYPERLINK("https://www.somogyi.sk/data/img/product_main_images/small/18801.jpg","https://www.somogyi.sk/data/img/product_main_images/small/18801.jpg")</f>
        <v>0.0</v>
      </c>
      <c r="F28" s="2" t="inlineStr">
        <is>
          <t>5400269202149</t>
        </is>
      </c>
      <c r="G28" s="4" t="inlineStr">
        <is>
          <t>Patríte medzi ľudí, ktorí radi grilujú a zabávajú sa na záhrade? Potom je pre vás čierny gril na drevené uhlie Barbecook Edson BC-CHA-1020 ideálnou voľbou!
Tento gril na drevené uhlie nielenže vykúzli lahodné grilované pokrmy, ale funguje aj ako bar, takže je ideálny na nápoje pred a po grilovaní. Gril na drevené uhlie Edson, ktorý je k dispozícii v čiernej a vojenskej zelenej farbe, sa vďaka svojmu čistému a drsnému vzhľadu zaručene stane ozdobou vašej záhradnej párty!
Čím je gril na drevené uhlie Edson výnimočný?
Gril na drevené uhlie Edson nielenže skvele vyzerá, ale aj rýchlo a jednoducho pripraví chutné grilované jedlo. Zapaľovač Barbecook na drevené uhlie (BC-ACC-7448) uľahčuje jeho zapálenie. Má veľkú okrúhlu grilovaciu mriežku zo smaltovanej ocele, ktorú možno umiestniť do dvoch rôznych výšok, čím sa ľahko nastavuje intenzita/teplota grilovania. Gril na drevené uhlie Edson má gumové nožičky, takže ho možno ľahko umiestniť na terasu bez obáv zo škvŕn od hrdze. Pred alebo po grilovacej párty sa gril Edson môže premeniť na skutočný párty stôl!
Ako funguje gril na drevené uhlie Edson?
Gril na drevené uhlie Edson sa veľmi ľahko zapaľuje pomocou zapaľovača Barbecook Charcoal (BC-ACC-7448). Na spodnú mriežku položte niekoľko vypaľovacích kociek a na vrch položte zapaľovač na drevené uhlie. Zapaľovač naplňte dreveným uhlím. Zapáľte zapaľovač cez jeden z bočných otvorov. Horúci vzduch prechádza cez drevené uhlie. Hneď ako sa na drevenom uhlí vytvorí sivá vrstva popola, vysypte ho do grilovacej panvice. Pridajte ďalšie drevené uhlie alebo niekoľko brikiet, kým nebude miska plná približne na 50 %. Grilovanie sa môže začať!
Ako čistiť gril na drevené uhlie Edson?
Po grilovacej párty je dôležité gril na drevené uhlie Edson pred ďalším použitím vyčistiť. Najprv nechajte gril úplne vychladnúť. Keď odstránite spodnú mriežku, uvidíte, že gril na drevené uhlie Edson je vybavený popolníkom. Zmetajte do neho všetok popol a zvyšky. Potom môžete popolník vybrať a vysypať ho do vedra. Gril vždy dôkladne vyčistite. Po skončení čistenia umiestnite veko na hornú časť grilu na drevené uhlie Edson a uložte ho (s nasadeným vekom) na suchom, dobre vetranom mieste.
Zhrnutie grilu na drevené uhlie Edson
Gril na drevené uhlie Edson má jedinečný čierny povrch s bielym nápisom ""Barbecook"". Je naozaj pútavý! Gril na drevené uhlie je vysoký 90 cm a má okrúhly rošt zo smaltovanej ocele s priemerom 47,5 cm. Gril na drevené uhlie Edson má smaltovanú oceľovú misu a pozinkovaný oceľový poklop. Tento gril na drevené uhlie môže obslúžiť až 10 hostí!
Ak chcete s priateľmi naozaj dobre grilovať, vyberte si gril na drevené uhlie Barbecook Edson BC-CHA-1020!</t>
        </is>
      </c>
    </row>
    <row r="29">
      <c r="A29" s="3" t="inlineStr">
        <is>
          <t>GR03</t>
        </is>
      </c>
      <c r="B29" s="2" t="inlineStr">
        <is>
          <t>Gril guľový, s krytom</t>
        </is>
      </c>
      <c r="C29" s="1" t="n">
        <v>138.9</v>
      </c>
      <c r="D29" s="7" t="n">
        <f>HYPERLINK("https://www.somogyi.sk/product/gril-gulovy-s-krytom-gr03-18394","https://www.somogyi.sk/product/gril-gulovy-s-krytom-gr03-18394")</f>
        <v>0.0</v>
      </c>
      <c r="E29" s="7" t="n">
        <f>HYPERLINK("https://www.somogyi.sk/data/img/product_main_images/small/18394.jpg","https://www.somogyi.sk/data/img/product_main_images/small/18394.jpg")</f>
        <v>0.0</v>
      </c>
      <c r="F29" s="2" t="inlineStr">
        <is>
          <t>5999084964122</t>
        </is>
      </c>
      <c r="G29" s="4" t="inlineStr">
        <is>
          <t xml:space="preserve"> • charakteristiky: 430 SS nohy 
 • N/A: drevené uhlie, drevená briketa 
 • N/A: 2 kg 
 • N/A: Ø57 cm (chrómovaná oceľ) 
 • hmotnosť: 11 kg 
 • N/A: Ø59 cm (chrómovaná oceľ) 
 • N/A: Ø54 cm (chrómovaná oceľ) 
 • N/A: 76 cm od podlahy 
 •  
 • rozmery: rozmery: 85 x 107 x 73 cm</t>
        </is>
      </c>
    </row>
    <row r="30">
      <c r="A30" s="3" t="inlineStr">
        <is>
          <t>BC-CHA-1018</t>
        </is>
      </c>
      <c r="B30" s="2" t="inlineStr">
        <is>
          <t>Barbecook BC-CHA-1018 Stolný gril na drevené uhlie Carlo, zelený, 44x33x21cm</t>
        </is>
      </c>
      <c r="C30" s="1" t="n">
        <v>203.9</v>
      </c>
      <c r="D30" s="7" t="n">
        <f>HYPERLINK("https://www.somogyi.sk/product/barbecook-bc-cha-1018-stolny-gril-na-drevene-uhlie-carlo-zeleny-44x33x21cm-bc-cha-1018-18735","https://www.somogyi.sk/product/barbecook-bc-cha-1018-stolny-gril-na-drevene-uhlie-carlo-zeleny-44x33x21cm-bc-cha-1018-18735")</f>
        <v>0.0</v>
      </c>
      <c r="E30" s="7" t="n">
        <f>HYPERLINK("https://www.somogyi.sk/data/img/product_main_images/small/18735.jpg","https://www.somogyi.sk/data/img/product_main_images/small/18735.jpg")</f>
        <v>0.0</v>
      </c>
      <c r="F30" s="2" t="inlineStr">
        <is>
          <t>5400269210922</t>
        </is>
      </c>
      <c r="G30" s="4" t="inlineStr">
        <is>
          <t>Chcete grilovať v mestskom parku, v kempe alebo dokonca na terase? Stolný gril na drevené uhlie Barbecook BC-CHA-1018 vám dáva možnosť znovuobjaviť varenie vonku kdekoľvek a kedykoľvek budete chcieť! 
Tento prenosný, farebný gril je ideálnou voľbou na spontánne grilovacie párty, či už v slnečnej žltej, nebeskej modrej, chilli červenej, mestskej sivej alebo vojenskej zelenej farbe - zaručene vytvorí skvelú atmosféru! Napriek mimoriadne kompaktným rozmerom (44 × 33 × 21 cm) sa na stolný gril Carlo zmestí porcia až pre šesť osôb, a to doma alebo na cestách. Navyše vďaka praktickej taške na prenášanie si tento štýlový gril môžete ľahko vziať so sebou. Tento model je mimoriadne bezpečný na používanie aj s deťmi: Carlo s názvom ""Cool Boy"" zostáva zvonku vždy chladný a vďaka vyvýšenému okraju jedlo z grilu nespadne. Tým sa predíde popáleninám a spadnutým pochúťkam.
Ako stolný gril Carlo funguje?
Používanie stolného grilu Carlo je veľmi jednoduché, je však nevyhnutné pozorne dodržiavať návod. Tento štýlový gril sa prevádzkuje pomocou batérií (ventilátor pre stály a nastaviteľný plameň) a dreveného uhlia, pričom dôležité je používať kvalitné drevené uhlie. Čo je ideálnou voľbou? Veľké, vzdušné uhlie v matnej čiernej farbe, ktoré zabezpečuje lepšiu cirkuláciu kyslíka a rýchlejšie rozžeravenie uhlíkov. Vyhnite sa malým kúskom a vrecúškam s veľkým množstvom prachu. Okrem dreveného uhlia môžete potrebovať aj tri podpaľovacie kocky a dlhé zápalky alebo zapaľovač (Barbecook BC-ACC-7448). Po naplnení zásobníka na drevené uhlie dreveným uhlím a zápalkami zapáľte kocky a nastavte ovládací gombík na stolnom grile na najvyššie nastavenie. Tým sa ovláda elektrický ventilátor, ktorý zabezpečuje dostatočnú cirkuláciu vzduchu na udržanie tlejúceho dreveného uhlia. Keď je drevené uhlie pokryté tenkou vrstvou sivého popola, nasaďte veko zásobníka a potom rošt. Teraz môžete ventilátor ovládať sami. Otočte gombík na vyššie nastavenie a ventilátor sa bude otáčať rýchlejšie, čím sa do zásobníka na drevené uhlie dostane viac vzduchu a oheň sa zintenzívni. 
Ako čistiť stolný gril Carlo?
Po skončení grilovania nechajte gril pred čistením úplne vychladnúť. Všetky časti stolného grilu Carlo sa dajú ľahko rozobrať a väčšinu z nich možno umývať v umývačke riadu. Môžete zvoliť aj čistenie dielov vlhkou špongiou. Gril môžete čistiť aj penovým čistiacim prostriedkom Barbecook. Pred odložením grilu sa uistite, že je úplne suchý! V ideálnom prípade by mal byť Carlo uložený v interiéri vo vhodnej taške. 
Vyberte si stolný gril na drevené uhlie Barbecook BC-CHA-1016 Carlo Yellow a doprajte si dokonalý relax!</t>
        </is>
      </c>
    </row>
    <row r="31">
      <c r="A31" s="3" t="inlineStr">
        <is>
          <t>BC-CHA-1022</t>
        </is>
      </c>
      <c r="B31" s="2" t="inlineStr">
        <is>
          <t>Barbecook BC-CHA-1022 Bubon na grilovanie na drevené uhlie Edson, zelený, priemer 47,5 cm</t>
        </is>
      </c>
      <c r="C31" s="1" t="n">
        <v>330.9</v>
      </c>
      <c r="D31" s="7" t="n">
        <f>HYPERLINK("https://www.somogyi.sk/product/barbecook-bc-cha-1022-bubon-na-grilovanie-na-drevene-uhlie-edson-zeleny-priemer-47-5-cm-bc-cha-1022-18802","https://www.somogyi.sk/product/barbecook-bc-cha-1022-bubon-na-grilovanie-na-drevene-uhlie-edson-zeleny-priemer-47-5-cm-bc-cha-1022-18802")</f>
        <v>0.0</v>
      </c>
      <c r="E31" s="7" t="n">
        <f>HYPERLINK("https://www.somogyi.sk/data/img/product_main_images/small/18802.jpg","https://www.somogyi.sk/data/img/product_main_images/small/18802.jpg")</f>
        <v>0.0</v>
      </c>
      <c r="F31" s="2" t="inlineStr">
        <is>
          <t>5400269209339</t>
        </is>
      </c>
      <c r="G31" s="4" t="inlineStr">
        <is>
          <t>Patríte medzi ľudí, ktorí radi grilujú a zabávajú sa na záhrade? Potom je pre vás gril Barbecook Edson BC-CHA-1022 Military Green Charcoal Grill Barrel ideálnou voľbou!
Tento gril na drevené uhlie nielenže vykúzli lahodné grilované pokrmy, ale funguje aj ako bar, takže je ideálny na nápoje pred a po grilovaní. Gril na drevené uhlie Edson, ktorý je k dispozícii v čiernej a vojenskej zelenej farbe, sa vďaka svojmu čistému a drsnému vzhľadu zaručene stane ozdobou vašej záhradnej párty!
Čím je gril na drevené uhlie Edson výnimočný?
Gril na drevené uhlie Edson nielenže skvele vyzerá, ale aj rýchlo a jednoducho pripraví chutné grilované jedlo. Zapaľovač Barbecook na drevené uhlie (BC-ACC-7448) uľahčuje jeho zapálenie. Má veľké okrúhle grilovacie koleso zo smaltovanej ocele, ktoré možno umiestniť do dvoch rôznych výšok, čím sa ľahko nastavuje intenzita/teplota grilovania. Gril na drevené uhlie Edson má gumové nožičky, takže ho možno ľahko umiestniť na terasu bez obáv zo škvŕn od hrdze. Pred alebo po grilovacej párty sa gril Edson môže premeniť na skutočný párty stôl!
Ako funguje gril na drevené uhlie Edson?
Gril na drevené uhlie Edson sa veľmi ľahko zapaľuje pomocou zapaľovača Barbecook Charcoal (BC-ACC-7448). Na spodnú mriežku položte niekoľko vypaľovacích kociek a na vrch položte zapaľovač na drevené uhlie. Zapaľovač naplňte dreveným uhlím. Zapáľte zapaľovač cez jeden z bočných otvorov. Horúci vzduch prechádza cez drevené uhlie. Hneď ako sa na drevenom uhlí vytvorí sivá vrstva popola, vysypte ho do grilovacej panvice. Pridajte ďalšie drevené uhlie alebo niekoľko brikiet, kým nebude miska plná približne na 50 %. Grilovanie sa môže začať!
Ako čistiť gril na drevené uhlie Edson?
Po grilovacej párty je dôležité gril na drevené uhlie Edson pred ďalším použitím vyčistiť. Najprv nechajte gril úplne vychladnúť. Keď odstránite spodnú mriežku, uvidíte, že gril na drevené uhlie Edson je vybavený popolníkom. Zmetajte do neho všetok popol a zvyšky. Potom môžete popolník vybrať a vysypať ho do vedra. Gril vždy dôkladne vyčistite. Po skončení čistenia umiestnite veko na hornú časť grilu na drevené uhlie Edson a uložte ho (s nasadeným vekom) na suchom, dobre vetranom mieste.
Zhrnutie grilu na drevené uhlie Edson
Gril na drevené uhlie Edson je vyhotovený vo vojenskej zelenej farbe s matným vzhľadom, s nápisom ""Barbecook"" v čiernom prevedení. Je naozaj pútavý! Gril na drevené uhlie je vysoký 90 cm a má okrúhly rošt zo smaltovanej ocele s priemerom 47,5 cm. Gril na drevené uhlie Edson má smaltovanú oceľovú misu a pozinkovaný oceľový poklop. Tento gril na drevené uhlie môže obslúžiť až 10 hostí!
Ak chcete s priateľmi naozaj dobre grilovať, vyberte si gril na drevené uhlie Barbecook Edson BC-CHA-1022 Military Green!</t>
        </is>
      </c>
    </row>
    <row r="32">
      <c r="A32" s="3" t="inlineStr">
        <is>
          <t>BC-CHA-1016</t>
        </is>
      </c>
      <c r="B32" s="2" t="inlineStr">
        <is>
          <t>Barbecook BC-CHA-1016 Stolný gril na drevené uhlie Carlo, žltý, 44x33x21cm</t>
        </is>
      </c>
      <c r="C32" s="1" t="n">
        <v>203.9</v>
      </c>
      <c r="D32" s="7" t="n">
        <f>HYPERLINK("https://www.somogyi.sk/product/barbecook-bc-cha-1016-stolny-gril-na-drevene-uhlie-carlo-zlty-44x33x21cm-bc-cha-1016-18734","https://www.somogyi.sk/product/barbecook-bc-cha-1016-stolny-gril-na-drevene-uhlie-carlo-zlty-44x33x21cm-bc-cha-1016-18734")</f>
        <v>0.0</v>
      </c>
      <c r="E32" s="7" t="n">
        <f>HYPERLINK("https://www.somogyi.sk/data/img/product_main_images/small/18734.jpg","https://www.somogyi.sk/data/img/product_main_images/small/18734.jpg")</f>
        <v>0.0</v>
      </c>
      <c r="F32" s="2" t="inlineStr">
        <is>
          <t>5400269204563</t>
        </is>
      </c>
      <c r="G32" s="4" t="inlineStr">
        <is>
          <t>Chcete grilovať v mestskom parku, v kempe alebo dokonca na terase? Stolný gril na drevené uhlie Barbecook BC-CHA-1016 Carlo Sunshine Yellow vám dáva možnosť znovuobjaviť varenie vonku kdekoľvek a kedykoľvek budete chcieť! 
Tento prenosný, farebný gril je ideálnou voľbou na spontánne grilovacie párty, či už v slnečnej žltej, nebeskej modrej, chilli červenej, mestskej sivej alebo vojenskej zelenej farbe - zaručene vytvorí skvelú atmosféru! Napriek mimoriadne kompaktným rozmerom (44 × 33 × 21 cm) sa na stolný gril Carlo zmestí porcia až pre šesť osôb, a to doma alebo na cestách. Navyše vďaka praktickej taške na prenášanie si tento štýlový gril môžete ľahko vziať so sebou. Tento model je mimoriadne bezpečný na používanie aj s deťmi: Carlo s názvom ""Cool Boy"" zostáva zvonku vždy chladný a vďaka vyvýšenému okraju jedlo z grilu nespadne. Tým sa predíde popáleninám a spadnutým pochúťkam.
Ako stolný gril Carlo funguje?
Používanie stolného grilu Carlo je veľmi jednoduché, je však nevyhnutné pozorne dodržiavať návod. Tento štýlový gril sa prevádzkuje pomocou batérií (ventilátor pre stály a nastaviteľný plameň) a dreveného uhlia, pričom dôležité je používať kvalitné drevené uhlie. Čo je ideálnou voľbou? Veľké, vzdušné uhlie v matnej čiernej farbe, ktoré zabezpečuje lepšiu cirkuláciu kyslíka a rýchlejšie rozžeravenie uhlíkov. Vyhnite sa malým kúskom a vrecúškam s veľkým množstvom prachu. Okrem dreveného uhlia môžete potrebovať aj tri podpaľovacie kocky a dlhé zápalky alebo zapaľovač (Barbecook BC-ACC-7448). Po naplnení zásobníka na drevené uhlie dreveným uhlím a zápalkami zapáľte kocky a nastavte ovládací gombík na stolnom grile na najvyššie nastavenie. Tým sa ovláda elektrický ventilátor, ktorý zabezpečuje dostatočnú cirkuláciu vzduchu na udržanie tlejúceho dreveného uhlia. Keď je drevené uhlie pokryté tenkou vrstvou sivého popola, nasaďte veko zásobníka a potom rošt. Teraz môžete ventilátor ovládať sami. Otočte gombík na vyššie nastavenie a ventilátor sa bude otáčať rýchlejšie, čím sa do zásobníka na drevené uhlie dostane viac vzduchu a oheň sa zintenzívni. 
Ako čistiť stolný gril Carlo?
Po skončení grilovania nechajte gril pred čistením úplne vychladnúť. Všetky časti stolného grilu Carlo sa dajú ľahko rozobrať a väčšinu z nich možno umývať v umývačke riadu. Môžete zvoliť aj čistenie dielov vlhkou špongiou. Gril môžete čistiť aj penovým čistiacim prostriedkom Barbecook. Pred odložením grilu sa uistite, že je úplne suchý! V ideálnom prípade by mal byť Carlo uložený v interiéri vo vhodnej taške. 
Vyberte si stolný gril na drevené uhlie Barbecook BC-CHA-1016 Carlo Yellow a doprajte si dokonalý relax!</t>
        </is>
      </c>
    </row>
    <row r="33">
      <c r="A33" s="6" t="inlineStr">
        <is>
          <t xml:space="preserve">   Grilovanie / Elektrický gril</t>
        </is>
      </c>
      <c r="B33" s="6" t="inlineStr">
        <is>
          <t/>
        </is>
      </c>
      <c r="C33" s="6" t="inlineStr">
        <is>
          <t/>
        </is>
      </c>
      <c r="D33" s="6" t="inlineStr">
        <is>
          <t/>
        </is>
      </c>
      <c r="E33" s="6" t="inlineStr">
        <is>
          <t/>
        </is>
      </c>
      <c r="F33" s="6" t="inlineStr">
        <is>
          <t/>
        </is>
      </c>
      <c r="G33" s="6" t="inlineStr">
        <is>
          <t/>
        </is>
      </c>
    </row>
    <row r="34">
      <c r="A34" s="3" t="inlineStr">
        <is>
          <t>HG GR 03</t>
        </is>
      </c>
      <c r="B34" s="2" t="inlineStr">
        <is>
          <t>Elektrický gril, 2000 W</t>
        </is>
      </c>
      <c r="C34" s="1" t="n">
        <v>50.69</v>
      </c>
      <c r="D34" s="7" t="n">
        <f>HYPERLINK("https://www.somogyi.sk/product/elektricky-gril-2000-w-hg-gr-03-17523","https://www.somogyi.sk/product/elektricky-gril-2000-w-hg-gr-03-17523")</f>
        <v>0.0</v>
      </c>
      <c r="E34" s="7" t="n">
        <f>HYPERLINK("https://www.somogyi.sk/data/img/product_main_images/small/17523.jpg","https://www.somogyi.sk/data/img/product_main_images/small/17523.jpg")</f>
        <v>0.0</v>
      </c>
      <c r="F34" s="2" t="inlineStr">
        <is>
          <t>5999084955458</t>
        </is>
      </c>
      <c r="G34" s="4" t="inlineStr">
        <is>
          <t xml:space="preserve"> • napájanie: 230 V~ / 50 Hz 
 • výkon: 2000 W 
 •  
 • N/A: ~ 260 °C max. 
 • dĺžka napájacieho kábla: ~ 0,8 m 
 • hmotnosť: 2,2 kg</t>
        </is>
      </c>
    </row>
    <row r="35">
      <c r="A35" s="3" t="inlineStr">
        <is>
          <t>HG KG 01</t>
        </is>
      </c>
      <c r="B35" s="2" t="inlineStr">
        <is>
          <t>Mini elektrický gril, 800-1000 W</t>
        </is>
      </c>
      <c r="C35" s="1" t="n">
        <v>27.79</v>
      </c>
      <c r="D35" s="7" t="n">
        <f>HYPERLINK("https://www.somogyi.sk/product/mini-elektricky-gril-800-1000-w-hg-kg-01-17768","https://www.somogyi.sk/product/mini-elektricky-gril-800-1000-w-hg-kg-01-17768")</f>
        <v>0.0</v>
      </c>
      <c r="E35" s="7" t="n">
        <f>HYPERLINK("https://www.somogyi.sk/data/img/product_main_images/small/17768.jpg","https://www.somogyi.sk/data/img/product_main_images/small/17768.jpg")</f>
        <v>0.0</v>
      </c>
      <c r="F35" s="2" t="inlineStr">
        <is>
          <t>5999084957902</t>
        </is>
      </c>
      <c r="G35" s="4" t="inlineStr">
        <is>
          <t xml:space="preserve"> • napájanie: 220-240 V~ 50-60 Hz 
 • výkon: 800-1000 W 
 • charakteristiky: paralelné plochy na pečenie prispôsobené výške pokrmu 
 • ďalšie informácie: jednoduché čistenie 
 • plocha na pečenie: nepriľnavý povrch 
 • ochrana proti prehriatiu: áno</t>
        </is>
      </c>
    </row>
    <row r="36">
      <c r="A36" s="3" t="inlineStr">
        <is>
          <t>BC-ELE-1003</t>
        </is>
      </c>
      <c r="B36" s="2" t="inlineStr">
        <is>
          <t>Elektrický stolný gril Barbecook BC-ELE-1003 E-Carlo, sivý, 42,5x33x16,5cm</t>
        </is>
      </c>
      <c r="C36" s="1" t="n">
        <v>233.9</v>
      </c>
      <c r="D36" s="7" t="n">
        <f>HYPERLINK("https://www.somogyi.sk/product/elektricky-stolny-gril-barbecook-bc-ele-1003-e-carlo-sivy-42-5x33x16-5cm-bc-ele-1003-18748","https://www.somogyi.sk/product/elektricky-stolny-gril-barbecook-bc-ele-1003-e-carlo-sivy-42-5x33x16-5cm-bc-ele-1003-18748")</f>
        <v>0.0</v>
      </c>
      <c r="E36" s="7" t="n">
        <f>HYPERLINK("https://www.somogyi.sk/data/img/product_main_images/small/18748.jpg","https://www.somogyi.sk/data/img/product_main_images/small/18748.jpg")</f>
        <v>0.0</v>
      </c>
      <c r="F36" s="2" t="inlineStr">
        <is>
          <t>5404035708057</t>
        </is>
      </c>
      <c r="G36" s="4" t="inlineStr">
        <is>
          <t>Chcete grilovať na balkóne v centre mesta? Elektrický gril Barbecook BC-ELE-1003 E-Carlo vám to umožní! Nový E-Carlo je ideálnou voľbou pre tých, ktorí chcú grilovať v malom útulnom priestore. Jednoduché používanie a údržba, kompaktný a štýlový! S E-Carlo môžete zažiť skutočný pocit dovolenky kdekoľvek! Nasaďte si slnečné okuliare a začnite grilovať!
Jednoduché nastavenie, skvelý zážitok z grilovania:
E-Carlo má ľahko použiteľnú trojstupňovú reguláciu teploty. E-Carlo má ľahko použiteľnú trojstupňovú reguláciu výkonu. Vďaka rýchlemu a rovnomernému rozloženiu tepla môžete bez problémov pripraviť takmer akékoľvek jedlo. Stačí otočiť reguláciu na požadovaný stupeň a grilovanie môžete začať už za 5 minút. Vďaka 1,5 m napájaciemu káblu môžete gril umiestniť kamkoľvek! Súčasťou grilu E-Carlo je aj praktická taška na prenášanie, takže si ho môžete vziať so sebou, kamkoľvek pôjdete.
Jednoduché čistenie
Grilovanie sa skončilo, máte obavy z čistenia? Nemusíte! E-Carlo má zavesené elektródy, takže sa dá ľahko premiestniť na čistenie. Grilovací rošt s vysokým okrajom a zásobník na tuk sa dajú umývať v umývačke riadu, takže sa nemusíte obávať ani toho.
Jednoduchá rozšíriteľnosť
Urobte si grilovanie s E-Carlo ešte zábavnejším s liatinovou grilovacou doskou Carlo (Barbecook BC-ACC-7463). Umiestnite grilovaciu dosku na stolný gril a vychutnajte si španielske špeciality, ako sú gamby alebo kalamáre.
Objavte elektrický stolný gril E-Carlo, ktorý sa dodáva v sivej farbe a môže sa pochváliť výkonom 2500 W. Jednoduchý ovládací gombík vám umožní vybrať si z troch úrovní teploty, takže môžete spotrebič ľahko regulovať. Vďaka rovnomernému a rýchlemu rozloženiu tepla môžete bezchybne pripraviť každý pokrm. Grilovací rošt a zásobník na tuk je možné umývať v umývačke riadu, takže čistenie je hračka. Okrem toho má gril vyvýšený okraj a štyri nožičky na ochranu stola, 1,5 m dlhý kábel a praktickú tašku na prenášanie pre jednoduchú prepravu. 
Objavte aj dostupné príslušenstvo pre ešte zábavnejšie grilovanie!</t>
        </is>
      </c>
    </row>
    <row r="37">
      <c r="A37" s="3" t="inlineStr">
        <is>
          <t>BC-ELE-4001</t>
        </is>
      </c>
      <c r="B37" s="2" t="inlineStr">
        <is>
          <t>Barbecook BC-ELE-4000 Alexia 5111 elektrický gril, bočný stolík, koliesko, čierny, 84x55x97cm</t>
        </is>
      </c>
      <c r="C37" s="1" t="n">
        <v>294.9</v>
      </c>
      <c r="D37" s="7" t="n">
        <f>HYPERLINK("https://www.somogyi.sk/product/barbecook-bc-ele-4000-alexia-5111-elektricky-gril-bocny-stolik-koliesko-cierny-84x55x97cm-bc-ele-4001-18806","https://www.somogyi.sk/product/barbecook-bc-ele-4000-alexia-5111-elektricky-gril-bocny-stolik-koliesko-cierny-84x55x97cm-bc-ele-4001-18806")</f>
        <v>0.0</v>
      </c>
      <c r="E37" s="7" t="n">
        <f>HYPERLINK("https://www.somogyi.sk/data/img/product_main_images/small/18806.jpg","https://www.somogyi.sk/data/img/product_main_images/small/18806.jpg")</f>
        <v>0.0</v>
      </c>
      <c r="F37" s="2" t="inlineStr">
        <is>
          <t>5400269210793</t>
        </is>
      </c>
      <c r="G37" s="4" t="inlineStr">
        <is>
          <t>Chcete ekologickú alternatívu ku grilovaniu na drevenom uhlí alebo plyne alebo máte malú terasu v meste? Barbecook má pre vás riešenie: elektrický gril Alexia 5111, ktorý je mimoriadne jednoduchý na používanie a veľmi všestranný. 
Tento elektrický gril sa dá umiestniť na stojan, ale dá sa použiť aj ako stolový gril. Má liatu hliníkovú grilovaciu dosku vyhrievanú elektrickým vykurovacím telesom. S týmto elektrickým grilom môžete pripraviť chutné jedlá až pre 4 osoby.
Výhody elektrického grilu Alexia 5111
Tí, ktorí sa rozhodnú pre elektrické grilovanie, kladú na prvé miesto pohodlie: žiadne problémy s plynovými fľašami, dreveným uhlím alebo briketami. Stačí ho zapojiť do zásuvky a môžete začať! S grilom Alexia budete nepochybne stopercentne uvoľnení! Tento elektrický gril je vybavený bočnými stolíkmi a 3 háčikmi na zavesenie príslušenstva, ako sú rukavice, kefy alebo špachtle. Tento model sa dodáva s dvoma kolieskami, vďaka ktorým je premiestňovanie grilu veľmi jednoduché. 
Okrem toho sa v spodnej časti prístroja nachádza praktická odkladacia plocha, do ktorej môžete uložiť ďalšie predmety. Ďalšou funkciou je, že elektrický gril môžete ľahko vybrať zo stojana a používať ho ako stolný gril. Je vonku trochu chladno? Potom si zútulnite interiér a jednoducho umiestnite gril Alexia na kuchynský stôl. S týmto elektrickým grilom sa predsa nedymí. Pripálené jedlo aj tak nie je v slovníku grilu Alexia. Elektrický gril Alexia sa zahreje už za 3 minúty a má 5 nastaviteľných stupňov ohrevu. 
Vďaka nepriľnavej povrchovej úprave takmer nehrozí, že sa vám príprava nepodarí! Poklop dokonale reguluje teplotu. Tento malý, ale prepracovaný elektrický gril je skrátka nepostrádateľný pre obyvateľov mesta, ktorí uprednostňujú pohodlie, rýchlosť a predovšetkým chutný zážitok z grilovania.
Ako čistiť elektrický gril Alexia?
Údržba elektrického grilu Alexia je mimoriadne jednoduchá. V prvom rade je dôležité, aby ste po použití odstránili elektrický kábel z prístroja. Pred čistením by ste mali vždy počkať, kým zariadenie úplne vychladne. Keď gril vychladne, vyčistite grilovaciu dosku a odkvapkávaciu misku elektrického grilu teplou vodou a špongiou. Nikdy nepoužívajte abrazívnu stranu čistiacich nástrojov, pretože by sa tým poškodil nepriľnavý povrch! Vodou a špongiou môžete vyčistiť aj držiak a základňu elektrického grilu. Pred odložením všetko dôkladne vysušte. V ideálnom prípade skladujte gril Alexia v puzdre v interiéri. 
Ste pripravení zažiariť so svojím novým, štýlovým grilom? Objednajte si gril Barbecook Alexia 5111 ešte dnes!</t>
        </is>
      </c>
    </row>
    <row r="38">
      <c r="A38" s="3" t="inlineStr">
        <is>
          <t>BC-ELE-1001</t>
        </is>
      </c>
      <c r="B38" s="2" t="inlineStr">
        <is>
          <t>Elektrický stolný gril Barbecook BC-ELE-1001 E-Carlo, červený, 42,5x33x16,5cm</t>
        </is>
      </c>
      <c r="C38" s="1" t="n">
        <v>233.9</v>
      </c>
      <c r="D38" s="7" t="n">
        <f>HYPERLINK("https://www.somogyi.sk/product/elektricky-stolny-gril-barbecook-bc-ele-1001-e-carlo-cerveny-42-5x33x16-5cm-bc-ele-1001-18821","https://www.somogyi.sk/product/elektricky-stolny-gril-barbecook-bc-ele-1001-e-carlo-cerveny-42-5x33x16-5cm-bc-ele-1001-18821")</f>
        <v>0.0</v>
      </c>
      <c r="E38" s="7" t="n">
        <f>HYPERLINK("https://www.somogyi.sk/data/img/product_main_images/small/18821.jpg","https://www.somogyi.sk/data/img/product_main_images/small/18821.jpg")</f>
        <v>0.0</v>
      </c>
      <c r="F38" s="2" t="inlineStr">
        <is>
          <t>5404035708033</t>
        </is>
      </c>
      <c r="G38" s="4" t="inlineStr">
        <is>
          <t>Chcete grilovať na balkóne v centre mesta? Elektrický gril Barbecook BC-ELE-1001 E-Carlo vám to umožní! Nový E-Carlo je ideálnou voľbou pre tých, ktorí chcú grilovať v malom útulnom priestore. Jednoduché používanie a údržba, kompaktný a štýlový! S E-Carlo môžete zažiť skutočný pocit dovolenky kdekoľvek! Nasaďte si slnečné okuliare a začnite grilovať!
Jednoduché nastavenie, skvelý zážitok z grilovania:
E-Carlo má ľahko použiteľnú trojstupňovú reguláciu teploty. E-Carlo má ľahko použiteľnú trojstupňovú reguláciu výkonu. Vďaka rýchlemu a rovnomernému rozloženiu tepla môžete bez problémov pripraviť takmer akékoľvek jedlo. Stačí otočiť reguláciu na požadovaný stupeň a grilovanie môžete začať už za 5 minút. Vďaka 1,5 m napájaciemu káblu môžete gril umiestniť kamkoľvek! Súčasťou grilu E-Carlo je aj praktická taška na prenášanie, takže si ho môžete vziať so sebou, kamkoľvek pôjdete.
Jednoduché čistenie
Grilovanie sa skončilo, máte obavy z čistenia? Nemusíte! E-Carlo má zavesené elektródy, takže sa dá ľahko premiestniť na čistenie. Grilovací rošt s vysokým okrajom a zásobník na tuk sa dajú umývať v umývačke riadu, takže sa nemusíte obávať ani toho.
Jednoduchá rozšíriteľnosť
Urobte si grilovanie s E-Carlo ešte zábavnejším s liatinovou grilovacou doskou Carlo (Barbecook BC-ACC-7463). Umiestnite grilovaciu dosku na stolný gril a vychutnajte si španielske špeciality, ako sú gamby alebo kalamáre.
Objavte elektrický stolný gril E-Carlo v červenej farbe, ktorý sa môže pochváliť výkonom 2500 W. Jednoduchý ovládací gombík vám umožní vybrať si z troch úrovní teploty, takže môžete spotrebič ľahko regulovať. Vďaka rovnomernému a rýchlemu rozloženiu tepla môžete bezchybne pripraviť každý pokrm. Grilovací rošt a zásobník na tuk je možné umývať v umývačke riadu, takže čistenie je hračka. Okrem toho má gril vyvýšený okraj a štyri nožičky na ochranu stola, 1,5 m dlhý kábel a praktickú tašku na prenášanie pre jednoduchú prepravu. 
Objavte aj dostupné príslušenstvo pre ešte zábavnejšie grilovanie!</t>
        </is>
      </c>
    </row>
    <row r="39">
      <c r="A39" s="3" t="inlineStr">
        <is>
          <t>BC-ELE-4000</t>
        </is>
      </c>
      <c r="B39" s="2" t="inlineStr">
        <is>
          <t>Elektrický gril Barbecook BC-ELE-4000 Alexia 5011, čierny, 59x49x97cm</t>
        </is>
      </c>
      <c r="C39" s="1" t="n">
        <v>245.9</v>
      </c>
      <c r="D39" s="7" t="n">
        <f>HYPERLINK("https://www.somogyi.sk/product/elektricky-gril-barbecook-bc-ele-4000-alexia-5011-cierny-59x49x97cm-bc-ele-4000-18805","https://www.somogyi.sk/product/elektricky-gril-barbecook-bc-ele-4000-alexia-5011-cierny-59x49x97cm-bc-ele-4000-18805")</f>
        <v>0.0</v>
      </c>
      <c r="E39" s="7" t="n">
        <f>HYPERLINK("https://www.somogyi.sk/data/img/product_main_images/small/18805.jpg","https://www.somogyi.sk/data/img/product_main_images/small/18805.jpg")</f>
        <v>0.0</v>
      </c>
      <c r="F39" s="2" t="inlineStr">
        <is>
          <t>5400269210786</t>
        </is>
      </c>
      <c r="G39" s="4" t="inlineStr">
        <is>
          <t>Chcete ekologickú alternatívu ku grilovaniu na drevenom uhlí alebo plyne alebo máte malú terasu v meste? Barbecook má pre vás riešenie: elektrický gril Alexia 5011, ktorý je mimoriadne jednoduchý na používanie a veľmi všestranný. 
Tento elektrický gril sa dá umiestniť na stojan, ale dá sa použiť aj ako stolný gril. Má liatu hliníkovú grilovaciu dosku vyhrievanú elektrickým vykurovacím telesom. S týmto elektrickým grilom môžete pripraviť chutné jedlá až pre 4 osoby.
Výhody elektrického grilu Alexia 5011
Tí, ktorí sa rozhodnú pre elektrické grilovanie, kladú na prvé miesto pohodlie: žiadne problémy s plynovými fľašami, dreveným uhlím alebo briketami. Stačí ho zapojiť do zásuvky a môžete začať grilovať! S grilom Alexia budete nepochybne stopercentne uvoľnení! Tento elektrický gril je k dispozícii v dvoch verziách, s bočnými stolíkmi - Alexia 5111 - a bez bočných stolíkov - Alexia 5011. Verzia s bočnými stolíkmi má aj 3 háčiky na zavesenie príslušenstva, ako sú rukavice, kefy alebo špachtle. Druhá verzia je tiež vybavená dvoma kolieskami, vďaka ktorým je premiestňovanie grilu veľmi jednoduché. 
Oba modely majú v spodnej časti praktickú odkladaciu plochu, do ktorej môžete uložiť ďalšie predmety. Ďalšou funkciou je, že elektrický gril môžete ľahko vybrať zo stojana a používať ho ako stolný gril. Je vonku trochu chladno? Potom si zútulnite interiér a jednoducho umiestnite gril Alexia na kuchynský stôl. S týmto elektrickým grilom sa predsa nedymí. Pripálené jedlo aj tak nie je v slovníku grilu Alexia. Elektrický gril Alexia sa zahreje už za 3 minúty a má 5 nastaviteľných stupňov ohrevu. 
Vďaka nepriľnavej povrchovej úprave takmer nehrozí, že sa vám príprava nepodarí! Poklop dokonale reguluje teplotu. Tento malý, ale prepracovaný elektrický gril je skrátka nepostrádateľný pre obyvateľov mesta, ktorí uprednostňujú pohodlie, rýchlosť a predovšetkým chutný zážitok z grilovania.
Ako čistiť elektrický gril Alexia?
Údržba elektrického grilu Alexia je mimoriadne jednoduchá. V prvom rade je dôležité, aby ste po použití odstránili elektrický kábel z prístroja. Pred čistením by ste mali vždy počkať, kým zariadenie úplne vychladne. Keď gril vychladne, vyčistite grilovaciu dosku a odkvapkávaciu misku elektrického grilu teplou vodou a špongiou. Nikdy nepoužívajte abrazívnu stranu čistiacich nástrojov, pretože by sa tým poškodil nepriľnavý povrch! Vodou a špongiou môžete vyčistiť aj držiak a základňu elektrického grilu. Pred odložením všetko dôkladne vysušte. V ideálnom prípade skladujte gril Alexia v interiéri. 
Ste pripravení zažiariť so svojím novým, štýlovým grilom? Objednajte si gril Barbecook Alexia 5011 ešte dnes!</t>
        </is>
      </c>
    </row>
    <row r="40">
      <c r="A40" s="3" t="inlineStr">
        <is>
          <t>BC-ELE-1002</t>
        </is>
      </c>
      <c r="B40" s="2" t="inlineStr">
        <is>
          <t>Elektrický stolný gril Barbecook BC-ELE-1002 E-Carlo, zelený, 42,5x33x16,5cm</t>
        </is>
      </c>
      <c r="C40" s="1" t="n">
        <v>233.9</v>
      </c>
      <c r="D40" s="7" t="n">
        <f>HYPERLINK("https://www.somogyi.sk/product/elektricky-stolny-gril-barbecook-bc-ele-1002-e-carlo-zeleny-42-5x33x16-5cm-bc-ele-1002-18749","https://www.somogyi.sk/product/elektricky-stolny-gril-barbecook-bc-ele-1002-e-carlo-zeleny-42-5x33x16-5cm-bc-ele-1002-18749")</f>
        <v>0.0</v>
      </c>
      <c r="E40" s="7" t="n">
        <f>HYPERLINK("https://www.somogyi.sk/data/img/product_main_images/small/18749.jpg","https://www.somogyi.sk/data/img/product_main_images/small/18749.jpg")</f>
        <v>0.0</v>
      </c>
      <c r="F40" s="2" t="inlineStr">
        <is>
          <t>5404035708040</t>
        </is>
      </c>
      <c r="G40" s="4" t="inlineStr">
        <is>
          <t>Chcete grilovať na balkóne v centre mesta? Elektrický gril Barbecook BC-ELE-1002 E-Carlo vám to umožní! Nový E-Carlo je ideálnou voľbou pre tých, ktorí chcú grilovať v malom útulnom priestore. Jednoduché používanie a údržba, kompaktný a štýlový! S E-Carlo môžete zažiť skutočný pocit dovolenky kdekoľvek! Nasaďte si slnečné okuliare a začnite grilovať!
Jednoduché nastavenie, skvelý zážitok z grilovania:
E-Carlo má ľahko použiteľnú trojstupňovú reguláciu teploty. E-Carlo má ľahko použiteľnú trojstupňovú reguláciu výkonu. Vďaka rýchlemu a rovnomernému rozloženiu tepla môžete bez problémov pripraviť takmer akékoľvek jedlo. Stačí otočiť reguláciu na požadovaný stupeň a grilovanie môžete začať už za 5 minút. Vďaka 1,5 m napájaciemu káblu môžete gril umiestniť kamkoľvek! Súčasťou grilu E-Carlo je aj praktická taška na prenášanie, takže si ho môžete vziať so sebou, kamkoľvek pôjdete.
Jednoduché čistenie
Grilovanie sa skončilo, máte obavy z čistenia? Nemusíte! E-Carlo má zavesené elektródy, takže sa dá ľahko premiestniť na čistenie. Grilovací rošt s vysokým okrajom a zásobník na tuk sa dajú umývať v umývačke riadu, takže sa nemusíte obávať ani toho.
Jednoduchá rozšíriteľnosť
Urobte si grilovanie s E-Carlo ešte zábavnejším s liatinovou grilovacou doskou Carlo (Barbecook BC-ACC-7463). Umiestnite grilovaciu dosku na stolný gril a vychutnajte si španielske špeciality, ako sú gamby alebo kalamáre.
Objavte elektrický stolný gril E-Carlo, ktorý sa dodáva v zelenej farbe a môže sa pochváliť výkonom 2500 W. Jednoduchý ovládací gombík vám umožní vybrať si z troch úrovní teploty, takže môžete spotrebič ľahko regulovať. Vďaka rovnomernému a rýchlemu rozloženiu tepla môžete bezchybne pripraviť každý pokrm. Grilovací rošt a zásobník na tuk je možné umývať v umývačke riadu, takže čistenie je hračka. Okrem toho má gril vyvýšený okraj a štyri nožičky na ochranu stola, 1,5 m dlhý kábel a praktickú tašku na prenášanie pre jednoduchú prepravu. 
Objavte aj dostupné príslušenstvo pre ešte zábavnejšie grilovanie!</t>
        </is>
      </c>
    </row>
    <row r="41">
      <c r="A41" s="6" t="inlineStr">
        <is>
          <t xml:space="preserve">   Grilovanie / Ohnisko a misa na oheň</t>
        </is>
      </c>
      <c r="B41" s="6" t="inlineStr">
        <is>
          <t/>
        </is>
      </c>
      <c r="C41" s="6" t="inlineStr">
        <is>
          <t/>
        </is>
      </c>
      <c r="D41" s="6" t="inlineStr">
        <is>
          <t/>
        </is>
      </c>
      <c r="E41" s="6" t="inlineStr">
        <is>
          <t/>
        </is>
      </c>
      <c r="F41" s="6" t="inlineStr">
        <is>
          <t/>
        </is>
      </c>
      <c r="G41" s="6" t="inlineStr">
        <is>
          <t/>
        </is>
      </c>
    </row>
    <row r="42">
      <c r="A42" s="3" t="inlineStr">
        <is>
          <t>BC-WOO-6016</t>
        </is>
      </c>
      <c r="B42" s="2" t="inlineStr">
        <is>
          <t>Barbecook BC-WOO-6016 Ohnisko a gril, 80x75x71cm</t>
        </is>
      </c>
      <c r="C42" s="1" t="n">
        <v>395.9</v>
      </c>
      <c r="D42" s="7" t="n">
        <f>HYPERLINK("https://www.somogyi.sk/product/barbecook-bc-woo-6016-ohnisko-a-gril-80x75x71cm-bc-woo-6016-18816","https://www.somogyi.sk/product/barbecook-bc-woo-6016-ohnisko-a-gril-80x75x71cm-bc-woo-6016-18816")</f>
        <v>0.0</v>
      </c>
      <c r="E42" s="7" t="n">
        <f>HYPERLINK("https://www.somogyi.sk/data/img/product_main_images/small/18816.jpg","https://www.somogyi.sk/data/img/product_main_images/small/18816.jpg")</f>
        <v>0.0</v>
      </c>
      <c r="F42" s="2" t="inlineStr">
        <is>
          <t>5400269210489</t>
        </is>
      </c>
      <c r="G42" s="4" t="inlineStr">
        <is>
          <t>Vyberte si ohnisko Barbecook BC-WOO-6016 Rila a urobte z grilovania spoločenskú aktivitu! Ohnisko Rila má konštrukciu, ktorá umožňuje pohodlné obklopenie grilu niekoľkými osobami súčasne. Je ideálny na prípravu chutného občerstvenia pre vašich hostí a zároveň na rozhovory. Vďaka svojmu krásnemu dizajnu sa gril Rila nepochybne stane ozdobou vašej grilovacej párty!
Aké sú výhody grilu Rila?
Posedenie pri ohni s priateľmi s niekoľkými nápojmi a chutnými grilovanými kúskami - kto by to nemiloval? S grilom Rila BBQ môžete vykročiť zo sveta predstáv do reality. Tento multifunkčný gril je nielen skvelým miestom na prípravu vašich pochúťok, ale slúži aj ako ohnisko. Ideálne na udržiavanie tepla a zároveň na vychutnávanie tancujúcich plameňov! Rila BBQ má grilovaciu dosku z uhlíkovej ocele s priemerom 75 cm. Grilovacia doska je šesťuholníková, čo ju rozdeľuje na šesť samostatných plôch. To umožňuje všetkým hosťom umiestniť na gril svoje obľúbené pochúťky. Gril Rila BBQ je známy nielen svojou multifunkčnosťou, ale aj krásnym dizajnom. Jeho geometrické tvary z neho robia vynikajúci dekoratívny objekt pre vašu záhradu. Široká základňa poskytuje potrebnú stabilitu. Rila BBQ je vysoký 80 cm a je vybavený háčikmi na príslušenstvo (špachtľa, kefa, ochranné rukavice).
Ako gril Rila funguje?
Pri zapaľovaní ohniska Rila BBQ najprv umiestnite na dno ohniska niekoľko zapaľovacích kociek (Barbecook BC-ACC-7113) a malé kúsky dreva. Zapáľte ich dlhou zápalkou alebo zapaľovačom. Potom postavte pyramídu z niekoľkých suchých drevných štiepok. Pre dobrý oheň je dôležité, aby vietor fúkal zo správneho smeru. Do ohňa môžete pravidelne fúkať vzduch. Keď oheň horí, dôležité je udržiavať ho na konštantnej a rovnakej teplote. Môžete to dosiahnuť tak, že polená vždy umiestnite na miesto, kde menej žeravia. Spoznáte, že váš gril na drevo Rila sa veľmi rýchlo rozhorí. 
Pre kvalitnú zábavu a pôžitok z grilovania si vyberte ohnisko Barbecook Rila! Rozhovor sa môže stať aj spoločným jedlom.</t>
        </is>
      </c>
    </row>
    <row r="43">
      <c r="A43" s="3" t="inlineStr">
        <is>
          <t>BC-WOO-6013</t>
        </is>
      </c>
      <c r="B43" s="2" t="inlineStr">
        <is>
          <t>Ohnisko BC-WOO-6013 Jura, lakovaný oceľový plech, 60x60x75cm</t>
        </is>
      </c>
      <c r="C43" s="1" t="n">
        <v>113.9</v>
      </c>
      <c r="D43" s="7" t="n">
        <f>HYPERLINK("https://www.somogyi.sk/product/ohnisko-bc-woo-6013-jura-lakovany-ocelovy-plech-60x60x75cm-bc-woo-6013-18754","https://www.somogyi.sk/product/ohnisko-bc-woo-6013-jura-lakovany-ocelovy-plech-60x60x75cm-bc-woo-6013-18754")</f>
        <v>0.0</v>
      </c>
      <c r="E43" s="7" t="n">
        <f>HYPERLINK("https://www.somogyi.sk/data/img/product_main_images/small/18754.jpg","https://www.somogyi.sk/data/img/product_main_images/small/18754.jpg")</f>
        <v>0.0</v>
      </c>
      <c r="F43" s="2" t="inlineStr">
        <is>
          <t>5400269207533</t>
        </is>
      </c>
      <c r="G43" s="4" t="inlineStr">
        <is>
          <t>Chcete si na terase alebo balkóne vytvoriť čarovnú atmosféru s priateľmi alebo rodinou? Ohnisko Barbecook Jura nielenže poskytuje teplo, ale zaručene sa stane ústredným bodom vašej terasy alebo záhrady a prispeje k príjemnej atmosfére a spoločenskému zážitku. 
Predstavte si, ako sa rozprávate s priateľmi, opekáte si nad ohňom marshmallows alebo slaninu alebo si len tak v teple plameňov vychutnávate dobrú knihu. Ohnisko Jura je ideálnou voľbou na vonkajšie stretnutia v zime aj v lete. Vďaka svojmu štýlovému geometrickému dizajnu a čiernej lakovanej oceľovej povrchovej úprave môže byť výraznou ozdobou každého vonkajšieho priestoru. Päť nôh ohňového koša s priemerom 42,5 cm a výškou 70 cm zaručuje stabilitu v záhrade alebo na terase. Vďaka otvorenému dizajnu si môžete naplno vychutnať pohľad a teplo tancujúcich plameňov. Výber ohniska Jura je funkčným riešením a zároveň krásnou záhradnou ozdobou.
Ako funguje ohnisko Jura?
Používanie ohniska Jura je mimoriadne jednoduché. V prvom rade je dôležité umiestniť ho na bezpečné, rovné miesto, mimo akýchkoľvek horľavých materiálov. Potom sa začína dobrodružstvo: na dno koša umiestnite podpaľovacie kocky a malé kúsky dreva a zapáľte ich dlhou zápalkou alebo zapaľovačom. Potom rozložte malé ohnisko, najlepšie z dubového alebo bukového dreva, ktoré dlho horí a dáva pekný plameň. Kľúčom k úspechu je použitie suchého dreva. Na udržanie ohňa pravidelne prikladajte polená, ak je to potrebné, a používajte prirodzené metódy na posilnenie ohňa, napríklad pomocou vetra alebo vzdušných prúdov.
Objavte nekonečné možnosti ohňového koša Jura a urobte krok k zatraktívneniu a zútulneniu vonkajšej časti vášho domu vo všetkých ročných obdobiach!</t>
        </is>
      </c>
    </row>
    <row r="44">
      <c r="A44" s="3" t="inlineStr">
        <is>
          <t>BC-WOO-6019</t>
        </is>
      </c>
      <c r="B44" s="2" t="inlineStr">
        <is>
          <t>Barbecook BC-WOO-6019 Jack 75 ohnisko, 75x30cm</t>
        </is>
      </c>
      <c r="C44" s="1" t="n">
        <v>223.9</v>
      </c>
      <c r="D44" s="7" t="n">
        <f>HYPERLINK("https://www.somogyi.sk/product/barbecook-bc-woo-6019-jack-75-ohnisko-75x30cm-bc-woo-6019-18817","https://www.somogyi.sk/product/barbecook-bc-woo-6019-jack-75-ohnisko-75x30cm-bc-woo-6019-18817")</f>
        <v>0.0</v>
      </c>
      <c r="E44" s="7" t="n">
        <f>HYPERLINK("https://www.somogyi.sk/data/img/product_main_images/small/18817.jpg","https://www.somogyi.sk/data/img/product_main_images/small/18817.jpg")</f>
        <v>0.0</v>
      </c>
      <c r="F44" s="2" t="inlineStr">
        <is>
          <t>5420059856185</t>
        </is>
      </c>
      <c r="G44" s="4" t="inlineStr">
        <is>
          <t>Chcete stráviť príjemné chvíle pri ohni s priateľmi alebo rodinou počas dlhých letných večerov alebo chladných zimných popoludní? Potom investujte do misy na oheň Barbecook BC-WOO-6019 Jack 75! 
Aké sú výhody ohniska Jack 75?
Poskytuje nielen teplo, ale vytvára aj dobrú atmosféru. Oheň doslova aj obrazne zohreje príjemný večer alebo popoludnie. Misa na oheň Jack 75 je nielen skvelým útulným spoločníkom počas dlhých letných večerov, ale aj v zime. Zhromaždite sa pri ohnisku po popoludňajšej prechádzke v prírode alebo usporiadajte vianočný večierok s priateľmi či rodinou pri ohni. Rozložte stoličky okolo Jacka 75, ponúknite niekoľko dobrôt, ako sú marshmallows, varené víno alebo len osviežujúce pivo, a rozdajte deky pre tých, ktorí si chcú urobiť konverzáciu ešte útulnejšou. Jack corten je vyrobený z ocele, kvalitného materiálu hnedej hrdzavej farby. Corten oceľ je dnes čoraz obľúbenejším stavebným a obkladovým materiálom a jej jedinečný vzhľad a popularita sú spôsobené vrstvou hrdze, ktorá sa vytvára na jej povrchu. Tento materiál je v súčasnosti veľmi obľúbený, pretože dodáva záhrade aj dekoratívny nádych. Corten oceľ má hrúbku 4 mm a je takmer nezničiteľná. Táto miska na oheň z corten ocele má v spodnej časti otvory na dodatočný prívod vzduchu a ľahké odvádzanie vody. Misku na oheň Jack môžete nechať vonku, takže keď prší, voda jednoducho pretečie otvormi.
Ako zapáliť misu na oheň Jack 75?
Zapálenie misy na oheň Jack z kortenovej ocele je veľmi jednoduché. Najprv je dôležité umiestniť ju na bezpečné miesto, na rovný povrch, mimo horľavých predmetov. Po splnení tejto úlohy sa dobrodružstvo môže začať. Najskôr na dno misy na oheň umiestnite niekoľko podpaľovacích kociek (Barbecook BC-ACC-7113) a malých kúskov dreva a zapáľte ich extra dlhou zápalkou alebo zapaľovačom. Potom postavte pyramídu z približne 5 polien. Na dosiahnutie rovnomerného tepla je najlepšie použiť bukové alebo dubové kúsky. Bukové a dubové drevo horí dlho a poskytuje pekný plameň. Je dôležité, aby bolo drevo suché. Ak nie je, drevo bude v ohni prskať, vydávať málo tepla a spôsobovať tmavý dym. Potom sa uistite, že vietor fúka zo správneho smeru, aby sa oheň v ohnisku rozhorel. Do ohňa tiež pravidelne vháňajte vzduch. V žiadnom prípade nepoužívajte tekuté palivá, ako je lieh; sú životu nebezpečné. Keď oheň horí, dôležité je udržiavať ho na konštantnej a rovnakej teplote. To dosiahnete tak, že polená vždy umiestnite tam, kde menej žeravia.
Urobte krok k dokonalému zážitku na záhrade s ohniskom Barbecook Jack 75 a vytvorte si nezabudnuteľné spomienky s ľuďmi, ktorí sú pre vás najdôležitejší!</t>
        </is>
      </c>
    </row>
    <row r="45">
      <c r="A45" s="6" t="inlineStr">
        <is>
          <t xml:space="preserve">   Grilovanie / Údiareň</t>
        </is>
      </c>
      <c r="B45" s="6" t="inlineStr">
        <is>
          <t/>
        </is>
      </c>
      <c r="C45" s="6" t="inlineStr">
        <is>
          <t/>
        </is>
      </c>
      <c r="D45" s="6" t="inlineStr">
        <is>
          <t/>
        </is>
      </c>
      <c r="E45" s="6" t="inlineStr">
        <is>
          <t/>
        </is>
      </c>
      <c r="F45" s="6" t="inlineStr">
        <is>
          <t/>
        </is>
      </c>
      <c r="G45" s="6" t="inlineStr">
        <is>
          <t/>
        </is>
      </c>
    </row>
    <row r="46">
      <c r="A46" s="3" t="inlineStr">
        <is>
          <t>BC-SMO-5017</t>
        </is>
      </c>
      <c r="B46" s="2" t="inlineStr">
        <is>
          <t>Barbecook BC-SMO-5017 Smaltovaná udiareň a gril Oskar S, čierna farba, priemer 40 cm</t>
        </is>
      </c>
      <c r="C46" s="1" t="n">
        <v>307.9</v>
      </c>
      <c r="D46" s="7" t="n">
        <f>HYPERLINK("https://www.somogyi.sk/product/barbecook-bc-smo-5017-smaltovana-udiaren-a-gril-oskar-s-cierna-farba-priemer-40-cm-bc-smo-5017-18720","https://www.somogyi.sk/product/barbecook-bc-smo-5017-smaltovana-udiaren-a-gril-oskar-s-cierna-farba-priemer-40-cm-bc-smo-5017-18720")</f>
        <v>0.0</v>
      </c>
      <c r="E46" s="7" t="n">
        <f>HYPERLINK("https://www.somogyi.sk/data/img/product_main_images/small/18720.jpg","https://www.somogyi.sk/data/img/product_main_images/small/18720.jpg")</f>
        <v>0.0</v>
      </c>
      <c r="F46" s="2" t="inlineStr">
        <is>
          <t>5400269206956</t>
        </is>
      </c>
      <c r="G46" s="4" t="inlineStr">
        <is>
          <t>Chcete svojmu domácemu grilovaniu dodať špeciálnu príchuť? Zoznámte sa so smaltovanou udiareň Barbecook BC-SMO-5017 Oskar S, ktorá je dokonalým nástrojom na prípravu mäsa a rýb s dymovou chuťou. 
Či už chcete objavovať nový svet chutí, alebo sa zdokonaliť v príprave profesionálnych údených pokrmov, udiareň Oskar S uspokojí všetky vaše potreby.
Udiarenský prístroj Barbecook Oskar S je multifunkčný prístroj 2 v 1, ktorý vám umožní pripraviť jedlo údením alebo tradičným grilovaním. Vďaka smaltovanej povrchovej úprave je toto zariadenie 2 v 1 nielen veľmi kvalitné, ale aj mimoriadne jednoduché na údržbu. Pri používaní si môžete vybrať, či chcete jedlo umiestniť na robustné pochrómované oceľové rošty alebo ho zavesiť na robustné závesy namontované vo vnútri udiarne. Nastaviteľný prívod vzduchu a integrovaný teplomer v hornej časti veka vám poskytujú maximálnu kontrolu nad procesom údenia. S údiarňou Oskar S môžete údiť za tepla aj za studena. Možnosti sú s touto udiarňou takmer neobmedzené. Skutočne sa oplatí investovať!
Údiareň Oskar S sa mimoriadne ľahko ovláda, či už údíte za tepla alebo za studena. Studené údenie sa vykonáva pri teplotách 20 až 25 °C, čo je ideálne na chladné zimné mesiace. Do udiarne je potrebné nainštalovať generátor studeného dymu (Barbecook BC-SMO-5021). Horúce údenie prebieha pri teplote 70 až 75 °C, pri ktorej sa jedlo uvarí a vykúri. Na to je potrebné drevo alebo drevené uhlie,  podpaľovacie kocky Barbecook, dlhé zápalky alebo zapaľovač a voda, vývar alebo víno. Pri údení v udiarni Oskar S môžete ľahko regulovať teplotu otvorením alebo zatvorením otvorov na prívod vzduchu.
Niekoľko informácií o údiarni Oskar S:
* Multifunkčný dizajn 2 v 1: údiareň a gril
* Výška: 112 cm
* Štýlová čierna farba s chrómovou mriežkou s priemerom 44 cm
* Smaltovaný povrch na jednoduchú údržbu
* Silné grilovacie rošty a závesy
* Nastaviteľný prívod vzduchu na ovládanie
* Integrovaný teplomer vo veku
Objavte výnimočné chute potravín s údiarňou Oskar S a urobte z domáceho grilovania nezabudnuteľný zážitok.</t>
        </is>
      </c>
    </row>
    <row r="47">
      <c r="A47" s="6" t="inlineStr">
        <is>
          <t xml:space="preserve">      Grilovanie / Grilovacie príslušenstvo / Zapaľovače grilu</t>
        </is>
      </c>
      <c r="B47" s="6" t="inlineStr">
        <is>
          <t/>
        </is>
      </c>
      <c r="C47" s="6" t="inlineStr">
        <is>
          <t/>
        </is>
      </c>
      <c r="D47" s="6" t="inlineStr">
        <is>
          <t/>
        </is>
      </c>
      <c r="E47" s="6" t="inlineStr">
        <is>
          <t/>
        </is>
      </c>
      <c r="F47" s="6" t="inlineStr">
        <is>
          <t/>
        </is>
      </c>
      <c r="G47" s="6" t="inlineStr">
        <is>
          <t/>
        </is>
      </c>
    </row>
    <row r="48">
      <c r="A48" s="3" t="inlineStr">
        <is>
          <t>BC-ACC-7113</t>
        </is>
      </c>
      <c r="B48" s="2" t="inlineStr">
        <is>
          <t>Barbecook BC-ACC-7113 Drevené zapaľovacie kocky, 72 ks</t>
        </is>
      </c>
      <c r="C48" s="1" t="n">
        <v>6.49</v>
      </c>
      <c r="D48" s="7" t="n">
        <f>HYPERLINK("https://www.somogyi.sk/product/barbecook-bc-acc-7113-drevene-zapalovacie-kocky-72-ks-bc-acc-7113-18789","https://www.somogyi.sk/product/barbecook-bc-acc-7113-drevene-zapalovacie-kocky-72-ks-bc-acc-7113-18789")</f>
        <v>0.0</v>
      </c>
      <c r="E48" s="7" t="n">
        <f>HYPERLINK("https://www.somogyi.sk/data/img/product_main_images/small/18789.jpg","https://www.somogyi.sk/data/img/product_main_images/small/18789.jpg")</f>
        <v>0.0</v>
      </c>
      <c r="F48" s="2" t="inlineStr">
        <is>
          <t>5400269217860</t>
        </is>
      </c>
      <c r="G48" s="4" t="inlineStr">
        <is>
          <t>Chcete rýchlo a bezpečne zapáliť gril na drevené uhlie alebo štiepku na údenie? So zapaľovacími kockami Barbecook BC-ACC-7113 Wood Cube bude táto úloha hračkou. 
Toto 72-dielne balenie ekologických zapaľovacích kociek zaručuje, že zapálenie ohňa bude rýchly a jednoduchý proces bez ohľadu na typ grilu alebo ohňa.
Použitie zapaľovacích kociek na grilovanie je mimoriadne jednoduché. V prípade grilov na drevené uhlie je najlepšie používať ich v kombinácii s chémiou na zapálenie grilu. Umiestnite tri zapaľovacie kocky na dno grilu, nad ne umiestnite komín grilu a naplňte ich dreveným uhlím alebo briketami. Kocky zapáľte dlhou zápalkou alebo zapaľovačom cez otvory v spodnej časti komína. Komín bude nasávať teplý vzduch zospodu a rozdeľovať ho medzi drevené uhlie alebo brikety. Dôležitá je dobrá cirkulácia vzduchu, preto sa neodporúča umiestniť zápalné kocky priamo medzi drevené uhlie alebo brikety, pretože to môže spôsobiť nedostatok kyslíka. 
Grily na drevo a ohniská by tiež mali zabezpečiť dostatok kyslíka, aby mohli zapaľovacie kocky vykonávať svoju prácu. Zapaľovacie kocky nezakrývajte drevom. Pri tomto type zariadenia môžete oheň zapáliť tak, že na dno položíte niekoľko podpaľovačov a niekoľko podpaľovacích kociek a zapálite ich. Potom postavte pyramídu z približne 5 kusov dreva. Keď oheň začne horieť, trik spočíva v jeho udržiavaní a udržiavaní rovnakej teploty. Môžete to dosiahnuť pridávaním ďalších polien v menej žeravých oblastiach. Na urýchlenie ohňa nepoužívajte čistý alkohol alebo benzín. Tieto látky uvoľňujú škodlivé látky a môžu spôsobiť vážne popáleniny!
Jednou z výhod podpaľovacích kociek Barbecook je, že sú úplne prírodné: sú vyrobené z lisovaných drevných vlákien a rastlinných olejov a horia úplne neutrálne z hľadiska CO2. Je to vynikajúca voľba pre tých, ktorí chcú grilovať zdravým a udržateľným spôsobom. Okrem toho majú kocky neobmedzenú trvanlivosť. Či už ich použijete dnes alebo o niekoľko rokov, ich kvalita zostane nezmenená. Navyše sú kocky úplne bez zápachu, takže vás počas grilovania alebo príjemných chvíľ pri ohni nebudú obťažovať žiadne nepríjemné pachy.
Vyberte si zapaľovacie drevené kocky Barbecook BC-ACC-7113 a urobte si grilovanie jednoduché a ekologické!</t>
        </is>
      </c>
    </row>
    <row r="49">
      <c r="A49" s="3" t="inlineStr">
        <is>
          <t>BC-ACC-7426</t>
        </is>
      </c>
      <c r="B49" s="2" t="inlineStr">
        <is>
          <t>Barbecook BC-ACC-7426 Drevená vlna na zapaľovanie, 32 ks</t>
        </is>
      </c>
      <c r="C49" s="1" t="n">
        <v>9.39</v>
      </c>
      <c r="D49" s="7" t="n">
        <f>HYPERLINK("https://www.somogyi.sk/product/barbecook-bc-acc-7426-drevena-vlna-na-zapalovanie-32-ks-bc-acc-7426-18843","https://www.somogyi.sk/product/barbecook-bc-acc-7426-drevena-vlna-na-zapalovanie-32-ks-bc-acc-7426-18843")</f>
        <v>0.0</v>
      </c>
      <c r="E49" s="7" t="n">
        <f>HYPERLINK("https://www.somogyi.sk/data/img/product_main_images/small/18843.jpg","https://www.somogyi.sk/data/img/product_main_images/small/18843.jpg")</f>
        <v>0.0</v>
      </c>
      <c r="F49" s="2" t="inlineStr">
        <is>
          <t>5420059857335</t>
        </is>
      </c>
      <c r="G49" s="4" t="inlineStr">
        <is>
          <t>Už vás nebaví zapaľovať gril na drevené uhlie, údiareň alebo ohnisko, ktoré sa zdajú byť večnosťou? Drevená vlna na zapaľovanie Barbecook BC-ACC-7426 je rýchle a ekologické riešenie na zakladanie ohňa. 
Má certifikát FSC®, ktorý zaručuje, že výrobok je vyrobený v súlade s prísnymi normami udržateľnosti lesného hospodárstva.
Tento 100 % prírodný podpaľovač horí až 8-10 minút, čo poskytuje dostatok času na účinné zapálenie dreveného uhlia, údiarne alebo ohniska. Balenie s 32 kusmi zaručuje, že budete mať vždy po ruke rýchlu pomoc, keď budete mať chuť na grilovanie.
Používanie podpaľovača Barbecook šetrí nielen čas, ale chráni aj životné prostredie. Certifikát FSC® je nielen dôkazom našej oddanosti prírode, ale aj toho, že spoločnosť Barbecook zodpovedne prispieva k ochrane lesov. Vďaka rýchlejšiemu zapáleniu a prírodným zložkám si môžete vychutnať každý okamih grilovania s čistým svedomím.
Nedovoľte, aby vás zapálenie ohňa pripravilo o radosť z grilovania. Vyberte si drevenú vlnu na zapaľovanie Barbecook BC-ACC-7426 Fire Ignition Freezer a získajte rýchle, jednoduché a ekologické riešenie, ktoré bude dokonalým spoločníkom pri všetkých vašich potrebách vonkajšieho grilovania.</t>
        </is>
      </c>
    </row>
    <row r="50">
      <c r="A50" s="3" t="inlineStr">
        <is>
          <t>BC-ACC-7413</t>
        </is>
      </c>
      <c r="B50" s="2" t="inlineStr">
        <is>
          <t>Barbecook BC-ACC-7413 nerezový zapaľovač na drevené uhlie</t>
        </is>
      </c>
      <c r="C50" s="1" t="n">
        <v>45.89</v>
      </c>
      <c r="D50" s="7" t="n">
        <f>HYPERLINK("https://www.somogyi.sk/product/barbecook-bc-acc-7413-nerezovy-zapalovac-na-drevene-uhlie-bc-acc-7413-18841","https://www.somogyi.sk/product/barbecook-bc-acc-7413-nerezovy-zapalovac-na-drevene-uhlie-bc-acc-7413-18841")</f>
        <v>0.0</v>
      </c>
      <c r="E50" s="7" t="n">
        <f>HYPERLINK("https://www.somogyi.sk/data/img/product_main_images/small/18841.jpg","https://www.somogyi.sk/data/img/product_main_images/small/18841.jpg")</f>
        <v>0.0</v>
      </c>
      <c r="F50" s="2" t="inlineStr">
        <is>
          <t>5420059848654</t>
        </is>
      </c>
      <c r="G50" s="4" t="inlineStr">
        <is>
          <t>Hľadáte najrýchlejší a najjednoduchší spôsob, ako zapáliť gril alebo ohnisko? So zapaľovačom na drevené uhlie Barbecook BC-ACC-7413 z nehrdzavejúcej ocele budete mať drevené uhlie rozžeravené za okamih a zostane vám viac času na zábavu.
Tento vysokokvalitný zapaľovač na drevené uhlie z nehrdzavejúcej ocele od spoločnosti Barbecook prinesie revolúciu do vašej prípravy grilu. Jednoduché a bezpečné zapálenie umožňuje systém Safe-drop, ktorý zaručuje, že horúce drevené uhlie môžete bezpečne a ľahko preniesť na gril. Podpaľovač s rozmermi 16,5 × 27,5 cm má rukoväť s pohodlným úchopom a žiaruvzdornú ochrannú dosku, ktorá chráni vaše ruky pred teplom.
Jeho používanie je veľmi jednoduché: naplňte zapaľovač dreveným uhlím, umiestnite pod neho horľavý materiál a zapáľte ho. Drevené uhlie v zapaľovači sa rýchlo a rovnomerne rozžeraví, čím sa výrazne skráti čas potrebný na grilovanie.
Kúpte si zapaľovač na drevené uhlie Barbecook BC-ACC-7413 z nehrdzavejúcej ocele a vyskúšajte, aké jednoduché je urobiť prvé kroky grilovania rýchlejšie a bezpečnejšie. Začnite grilovať bez stresu, aby ste mohli všetku svoju pozornosť sústrediť na chute a spoločnosť!</t>
        </is>
      </c>
    </row>
    <row r="51">
      <c r="A51" s="6" t="inlineStr">
        <is>
          <t xml:space="preserve">      Grilovanie / Grilovacie príslušenstvo / Kryty na grily</t>
        </is>
      </c>
      <c r="B51" s="6" t="inlineStr">
        <is>
          <t/>
        </is>
      </c>
      <c r="C51" s="6" t="inlineStr">
        <is>
          <t/>
        </is>
      </c>
      <c r="D51" s="6" t="inlineStr">
        <is>
          <t/>
        </is>
      </c>
      <c r="E51" s="6" t="inlineStr">
        <is>
          <t/>
        </is>
      </c>
      <c r="F51" s="6" t="inlineStr">
        <is>
          <t/>
        </is>
      </c>
      <c r="G51" s="6" t="inlineStr">
        <is>
          <t/>
        </is>
      </c>
    </row>
    <row r="52">
      <c r="A52" s="3" t="inlineStr">
        <is>
          <t>BC-ACC-7170</t>
        </is>
      </c>
      <c r="B52" s="2" t="inlineStr">
        <is>
          <t>Prémiový kryt grilu Barbecook BC-ACC-7170, priemer 66 cm, čierny</t>
        </is>
      </c>
      <c r="C52" s="1" t="n">
        <v>46.29</v>
      </c>
      <c r="D52" s="7" t="n">
        <f>HYPERLINK("https://www.somogyi.sk/product/premiovy-kryt-grilu-barbecook-bc-acc-7170-priemer-66-cm-cierny-bc-acc-7170-18776","https://www.somogyi.sk/product/premiovy-kryt-grilu-barbecook-bc-acc-7170-priemer-66-cm-cierny-bc-acc-7170-18776")</f>
        <v>0.0</v>
      </c>
      <c r="E52" s="7" t="n">
        <f>HYPERLINK("https://www.somogyi.sk/data/img/product_main_images/small/18776.jpg","https://www.somogyi.sk/data/img/product_main_images/small/18776.jpg")</f>
        <v>0.0</v>
      </c>
      <c r="F52" s="2" t="inlineStr">
        <is>
          <t>5400269210823</t>
        </is>
      </c>
      <c r="G52" s="4" t="inlineStr">
        <is>
          <t>Rozmýšľali ste niekedy, ako ochrániť svoj gril pred nepriaznivými vplyvmi počasia? Prémiový kryt na gril Barbecook BC-ACC-7170 je dokonalým riešením na ochranu grilov Loewy 50, Oskar S a kompatibilných grilov. 
Je vyrobený z vysokokvalitného, mäkkého polyesteru odolného proti roztrhnutiu, vďaka čomu si môžete byť istí, že si váš gril dlho zachová svoj pôvodný stav.
Odolnosť voči UV žiareniu a vodoodpudivé a priedušné vlastnosti zaručujú, že váš gril zostane pod krytom na gril vždy suchý a bude vyzerať ako nový. Rozmery 66 × 66 × 67 cm zaručujú dokonalé prispôsobenie, takže sa nemusíte obávať posunu v dôsledku vetra alebo nepresného zakrytia.
Zabezpečte si bezpečnejšie skladovanie grilu s prémiovým krytom na gril Barbecook BC-ACC-7170.</t>
        </is>
      </c>
    </row>
    <row r="53">
      <c r="A53" s="3" t="inlineStr">
        <is>
          <t>BC-ACC-7445</t>
        </is>
      </c>
      <c r="B53" s="2" t="inlineStr">
        <is>
          <t>Barbecook BC-ACC-7445 prémiový kryt na gril Kamal kamado na drevené uhlie</t>
        </is>
      </c>
      <c r="C53" s="1" t="n">
        <v>86.09</v>
      </c>
      <c r="D53" s="7" t="n">
        <f>HYPERLINK("https://www.somogyi.sk/product/barbecook-bc-acc-7445-premiovy-kryt-na-gril-kamal-kamado-na-drevene-uhlie-bc-acc-7445-18795","https://www.somogyi.sk/product/barbecook-bc-acc-7445-premiovy-kryt-na-gril-kamal-kamado-na-drevene-uhlie-bc-acc-7445-18795")</f>
        <v>0.0</v>
      </c>
      <c r="E53" s="7" t="n">
        <f>HYPERLINK("https://www.somogyi.sk/data/img/product_main_images/small/18795.jpg","https://www.somogyi.sk/data/img/product_main_images/small/18795.jpg")</f>
        <v>0.0</v>
      </c>
      <c r="F53" s="2" t="inlineStr">
        <is>
          <t>5420059859667</t>
        </is>
      </c>
      <c r="G53" s="4" t="inlineStr">
        <is>
          <t>Hľadáte dokonalé riešenie na celoročnú ochranu vášho grilu Barbecook Kamal kamado? S prémiovým krytom na gril Barbecook BC-ACC-7445 Kamal kamado si môžete byť istí, že váš gril je v bezpečí. 
Tento špeciálne navrhnutý kryt sa dokonale hodí na model Barbecook Kamal kamado, ako aj na iné kompatibilné grily.
Vysokokvalitný, mäkký polyesterový materiál odolný proti roztrhnutiu zaručuje dlhotrvajúcu ochranu. Jeho odolnosť voči UV žiareniu znamená, že škodlivé slnečné lúče nepredstavujú žiadny problém, zatiaľ čo jeho vodoodpudivé a priedušné vlastnosti zabezpečujú, že váš gril zostane suchý a v dobrom stave. Tento kryt na gril s rozmermi 82,5 × 90 cm poskytuje presnú a spoľahlivú ochranu pred poveternostnými vplyvmi.
Vyberte si prémiový kryt na gril Barbecook BC-ACC-7445, aby váš gril vyzeral skvele dlhé roky a bol pripravený na ďalšie grilovanie.</t>
        </is>
      </c>
    </row>
    <row r="54">
      <c r="A54" s="3" t="inlineStr">
        <is>
          <t>BC-ACC-7414</t>
        </is>
      </c>
      <c r="B54" s="2" t="inlineStr">
        <is>
          <t>Prémiový kryt na gril Barbecook BC-ACC-7414 pre gril na drevené uhlie Edson</t>
        </is>
      </c>
      <c r="C54" s="1" t="n">
        <v>79.19</v>
      </c>
      <c r="D54" s="7" t="n">
        <f>HYPERLINK("https://www.somogyi.sk/product/premiovy-kryt-na-gril-barbecook-bc-acc-7414-pre-gril-na-drevene-uhlie-edson-bc-acc-7414-18842","https://www.somogyi.sk/product/premiovy-kryt-na-gril-barbecook-bc-acc-7414-pre-gril-na-drevene-uhlie-edson-bc-acc-7414-18842")</f>
        <v>0.0</v>
      </c>
      <c r="E54" s="7" t="n">
        <f>HYPERLINK("https://www.somogyi.sk/data/img/product_main_images/small/18842.jpg","https://www.somogyi.sk/data/img/product_main_images/small/18842.jpg")</f>
        <v>0.0</v>
      </c>
      <c r="F54" s="2" t="inlineStr">
        <is>
          <t>5420059853597</t>
        </is>
      </c>
      <c r="G54" s="4" t="inlineStr">
        <is>
          <t>Hľadáte dokonalé riešenie na ochranu svojho grilu Barbecook Edson na každý deň v roku? S prémiovým krytom na gril Barbecook BC-ACC-7414 si môžete byť istí, že váš gril je v bezpečí. 
Tento špeciálne navrhnutý kryt dokonale pasuje na model Barbecook Edson, ako aj na iné kompatibilné grily.
Vysokokvalitný, mäkký polyesterový materiál odolný proti roztrhnutiu zaručuje dlhotrvajúcu ochranu. Jeho odolnosť voči UV žiareniu znamená, že škodlivé slnečné lúče nepredstavujú žiadny problém, zatiaľ čo jeho vodoodpudivé a priedušné vlastnosti zabezpečujú, že váš gril zostane suchý a v dobrom stave. Tento kryt na gril s rozmermi 66 × 85 cm poskytuje presnú a spoľahlivú ochranu pred nepriaznivými vplyvmi počasia.
Vyberte si prémiový kryt na gril Barbecook BC-ACC-7414, aby váš gril vyzeral skvele dlhé roky a bol pripravený na ďalšie grilovanie.</t>
        </is>
      </c>
    </row>
    <row r="55">
      <c r="A55" s="3" t="inlineStr">
        <is>
          <t>GRG01P</t>
        </is>
      </c>
      <c r="B55" s="2" t="inlineStr">
        <is>
          <t>Plachta na plynový gril GRG01</t>
        </is>
      </c>
      <c r="C55" s="1" t="n">
        <v>25.79</v>
      </c>
      <c r="D55" s="7" t="n">
        <f>HYPERLINK("https://www.somogyi.sk/product/plachta-na-plynovy-gril-grg01-grg01p-19080","https://www.somogyi.sk/product/plachta-na-plynovy-gril-grg01-grg01p-19080")</f>
        <v>0.0</v>
      </c>
      <c r="E55" s="7" t="n">
        <f>HYPERLINK("https://www.somogyi.sk/data/img/product_main_images/small/19080.jpg","https://www.somogyi.sk/data/img/product_main_images/small/19080.jpg")</f>
        <v>0.0</v>
      </c>
      <c r="F55" s="2" t="inlineStr">
        <is>
          <t>5999084970734</t>
        </is>
      </c>
      <c r="G55" s="4" t="inlineStr">
        <is>
          <t xml:space="preserve"> • rozmery: 129 x 47 x 97 cm</t>
        </is>
      </c>
    </row>
    <row r="56">
      <c r="A56" s="3" t="inlineStr">
        <is>
          <t>GRG02P</t>
        </is>
      </c>
      <c r="B56" s="2" t="inlineStr">
        <is>
          <t>Plachta na plynový gril GRG02</t>
        </is>
      </c>
      <c r="C56" s="1" t="n">
        <v>23.99</v>
      </c>
      <c r="D56" s="7" t="n">
        <f>HYPERLINK("https://www.somogyi.sk/product/plachta-na-plynovy-gril-grg02-grg02p-19081","https://www.somogyi.sk/product/plachta-na-plynovy-gril-grg02-grg02p-19081")</f>
        <v>0.0</v>
      </c>
      <c r="E56" s="7" t="n">
        <f>HYPERLINK("https://www.somogyi.sk/data/img/product_main_images/small/19081.jpg","https://www.somogyi.sk/data/img/product_main_images/small/19081.jpg")</f>
        <v>0.0</v>
      </c>
      <c r="F56" s="2" t="inlineStr">
        <is>
          <t>5999084970741</t>
        </is>
      </c>
      <c r="G56" s="4" t="inlineStr">
        <is>
          <t xml:space="preserve"> • rozmery: 121 x 47 x 97 cm</t>
        </is>
      </c>
    </row>
    <row r="57">
      <c r="A57" s="3" t="inlineStr">
        <is>
          <t>BC-ACC-7172</t>
        </is>
      </c>
      <c r="B57" s="2" t="inlineStr">
        <is>
          <t>Barbecook BC-ACC-7172 prémiový krytz na plynový gril, 151x56,5x107cm, čierna, veľká veľkosť</t>
        </is>
      </c>
      <c r="C57" s="1" t="n">
        <v>112.9</v>
      </c>
      <c r="D57" s="7" t="n">
        <f>HYPERLINK("https://www.somogyi.sk/product/barbecook-bc-acc-7172-premiovy-krytz-na-plynovy-gril-151x56-5x107cm-cierna-velka-velkost-bc-acc-7172-18779","https://www.somogyi.sk/product/barbecook-bc-acc-7172-premiovy-krytz-na-plynovy-gril-151x56-5x107cm-cierna-velka-velkost-bc-acc-7172-18779")</f>
        <v>0.0</v>
      </c>
      <c r="E57" s="7" t="n">
        <f>HYPERLINK("https://www.somogyi.sk/data/img/product_main_images/small/18779.jpg","https://www.somogyi.sk/data/img/product_main_images/small/18779.jpg")</f>
        <v>0.0</v>
      </c>
      <c r="F57" s="2" t="inlineStr">
        <is>
          <t>5400269210809</t>
        </is>
      </c>
      <c r="G57" s="4" t="inlineStr">
        <is>
          <t>Hľadáte dokonalé riešenie na ochranu vášho grilu každý deň v roku? S prémiovým krytom na gril Barbecook BC-ACC-7170 si môžete byť istí, že váš gril je v bezpečí. 
Tento špeciálne navrhnutý kryt sa dokonale hodí na modely Barbecook Spring 3002/3112/3212, Siesta 310/412/612 a Stella 3021/3221/4311, ako aj na ďalšie kompatibilné grily.
Vysokokvalitný, mäkký polyesterový materiál odolný voči roztrhnutiu zaručuje dlhotrvajúcu ochranu. Jeho odolnosť voči UV žiareniu znamená, že sa nemusíte obávať škodlivých slnečných lúčov, zatiaľ čo jeho vodoodpudivé a priedušné vlastnosti zabezpečia, že váš gril zostane suchý a v dobrom stave. Tento kryt na gril s rozmermi 151 × 56,5 × 107 cm poskytuje presnú a spoľahlivú ochranu pred nepriaznivými vplyvmi počasia.
Vyberte si prémiový kryt na gril Barbecook BC-ACC-7170, aby váš gril vyzeral skvele dlhé roky a bol pripravený na ďalšie grilovanie.</t>
        </is>
      </c>
    </row>
    <row r="58">
      <c r="A58" s="3" t="inlineStr">
        <is>
          <t>BC-ACC-7174</t>
        </is>
      </c>
      <c r="B58" s="2" t="inlineStr">
        <is>
          <t>Barbecook BC-ACC-7174 prémiový kryt na plynový gril, 90x55x80cm, čierna, malá veľkosť</t>
        </is>
      </c>
      <c r="C58" s="1" t="n">
        <v>79.19</v>
      </c>
      <c r="D58" s="7" t="n">
        <f>HYPERLINK("https://www.somogyi.sk/product/barbecook-bc-acc-7174-premiovy-kryt-na-plynovy-gril-90x55x80cm-cierna-mala-velkost-bc-acc-7174-18777","https://www.somogyi.sk/product/barbecook-bc-acc-7174-premiovy-kryt-na-plynovy-gril-90x55x80cm-cierna-mala-velkost-bc-acc-7174-18777")</f>
        <v>0.0</v>
      </c>
      <c r="E58" s="7" t="n">
        <f>HYPERLINK("https://www.somogyi.sk/data/img/product_main_images/small/18777.jpg","https://www.somogyi.sk/data/img/product_main_images/small/18777.jpg")</f>
        <v>0.0</v>
      </c>
      <c r="F58" s="2" t="inlineStr">
        <is>
          <t>5400269210885</t>
        </is>
      </c>
      <c r="G58" s="4" t="inlineStr">
        <is>
          <t>Hľadáte dokonalé riešenie na ochranu vášho grilu každý deň v roku? S prémiovým krytom na gril Barbecook BC-ACC-7174 si môžete byť istí, že váš gril je v bezpečí. 
Tento jedinečne navrhnutý kryt sa dokonale hodí na grily Barbecook Spring 2002, Alexia 5011/5111, Magnus Original a ďalšie kompatibilné grily.
Vysokokvalitný, mäkký polyesterový materiál odolný voči roztrhnutiu zaručuje dlhodobú ochranu. Jeho odolnosť voči UV žiareniu znamená, že škodlivé slnečné lúče nepredstavujú žiadny problém, zatiaľ čo jeho vodoodpudivé a priedušné vlastnosti zaručujú, že váš gril zostane suchý a v dobrom stave. Tento obal na gril s rozmermi 90 × 55 × 80 cm poskytuje presnú a spoľahlivú ochranu pred nepriaznivými vplyvmi počasia.
Vyberte si prémiový kryt na gril Barbecook BC-ACC-7174, aby váš gril vyzeral skvele dlhé roky a bol pripravený na ďalšie grilovanie.</t>
        </is>
      </c>
    </row>
    <row r="59">
      <c r="A59" s="3" t="inlineStr">
        <is>
          <t>BC-ACC-7176</t>
        </is>
      </c>
      <c r="B59" s="2" t="inlineStr">
        <is>
          <t>Prémiový kryt na plynový gril Barbecook BC-ACC-7176, 120x55x95cm, čierna, stredná veľkosť</t>
        </is>
      </c>
      <c r="C59" s="1" t="n">
        <v>92.49</v>
      </c>
      <c r="D59" s="7" t="n">
        <f>HYPERLINK("https://www.somogyi.sk/product/premiovy-kryt-na-plynovy-gril-barbecook-bc-acc-7176-120x55x95cm-cierna-stredna-velkost-bc-acc-7176-18778","https://www.somogyi.sk/product/premiovy-kryt-na-plynovy-gril-barbecook-bc-acc-7176-120x55x95cm-cierna-stredna-velkost-bc-acc-7176-18778")</f>
        <v>0.0</v>
      </c>
      <c r="E59" s="7" t="n">
        <f>HYPERLINK("https://www.somogyi.sk/data/img/product_main_images/small/18778.jpg","https://www.somogyi.sk/data/img/product_main_images/small/18778.jpg")</f>
        <v>0.0</v>
      </c>
      <c r="F59" s="2" t="inlineStr">
        <is>
          <t>5400269210816</t>
        </is>
      </c>
      <c r="G59" s="4" t="inlineStr">
        <is>
          <t>Hľadáte dokonalé riešenie na ochranu vášho grilu každý deň v roku? S prémiovým krytom na gril Barbecook BC-ACC-7176 si môžete byť istí, že váš gril je v bezpečí. 
Tento špeciálne navrhnutý kryt sa dokonale hodí na modely Barbecook Siesta 210 a Magnus Comfort a Premium, ako aj na ďalšie kompatibilné grily.
Vysokokvalitný, mäkký polyesterový materiál odolný proti roztrhnutiu zaručuje dlhotrvajúcu ochranu. Jeho odolnosť voči UV žiareniu znamená, že škodlivé slnečné lúče nepredstavujú žiadny problém, zatiaľ čo jeho vodoodpudivé a priedušné vlastnosti zabezpečujú, že váš gril zostane suchý a v dobrom stave. Tento kryt na gril s rozmermi 120 × 55 × 95 cm poskytuje presnú a spoľahlivú ochranu pred nepriaznivými vplyvmi počasia.
Vyberte si prémiový kryt na gril Barbecook BC-ACC-7176, aby váš gril vyzeral skvele dlhé roky a bol pripravený na ďalšie grilovanie.</t>
        </is>
      </c>
    </row>
    <row r="60">
      <c r="A60" s="6" t="inlineStr">
        <is>
          <t xml:space="preserve">      Grilovanie / Grilovacie príslušenstvo / Grilovacie nástroje</t>
        </is>
      </c>
      <c r="B60" s="6" t="inlineStr">
        <is>
          <t/>
        </is>
      </c>
      <c r="C60" s="6" t="inlineStr">
        <is>
          <t/>
        </is>
      </c>
      <c r="D60" s="6" t="inlineStr">
        <is>
          <t/>
        </is>
      </c>
      <c r="E60" s="6" t="inlineStr">
        <is>
          <t/>
        </is>
      </c>
      <c r="F60" s="6" t="inlineStr">
        <is>
          <t/>
        </is>
      </c>
      <c r="G60" s="6" t="inlineStr">
        <is>
          <t/>
        </is>
      </c>
    </row>
    <row r="61">
      <c r="A61" s="3" t="inlineStr">
        <is>
          <t>BC-ACC-7049</t>
        </is>
      </c>
      <c r="B61" s="2" t="inlineStr">
        <is>
          <t>Barbecook BC-ACC-7049 4 ks steakových nožov Olivia z nehrdzavejúcej ocele, ergonomická rukoväť, 25 cm</t>
        </is>
      </c>
      <c r="C61" s="1" t="n">
        <v>22.89</v>
      </c>
      <c r="D61" s="7" t="n">
        <f>HYPERLINK("https://www.somogyi.sk/product/barbecook-bc-acc-7049-4-ks-steakovych-nozov-olivia-z-nehrdzavejucej-ocele-ergonomicka-rukovat-25-cm-bc-acc-7049-18741","https://www.somogyi.sk/product/barbecook-bc-acc-7049-4-ks-steakovych-nozov-olivia-z-nehrdzavejucej-ocele-ergonomicka-rukovat-25-cm-bc-acc-7049-18741")</f>
        <v>0.0</v>
      </c>
      <c r="E61" s="7" t="n">
        <f>HYPERLINK("https://www.somogyi.sk/data/img/product_main_images/small/18741.jpg","https://www.somogyi.sk/data/img/product_main_images/small/18741.jpg")</f>
        <v>0.0</v>
      </c>
      <c r="F61" s="2" t="inlineStr">
        <is>
          <t>5400269210779</t>
        </is>
      </c>
      <c r="G61" s="4" t="inlineStr">
        <is>
          <t>Hľadáte dokonalý steakový nôž, ktorý je štýlový a ľahko sa používa? Súprava štyroch steakových nožov Barbecook BC-ACC-7049 Olivia z nehrdzavejúcej ocele zaručuje, že krájanie mäsa bude vždy presné a bez námahy, bez ohľadu na druh mäsa.
Táto vysokokvalitná súprava steakových nožov je vybavená ergonomickou rukoväťou, ktorá nielenže poskytuje pohodlný úchop, ale zároveň vám pomôže presne krájať. Nože s rozmermi 25 × 3,5 × 2 cm majú ideálnu veľkosť na všetky druhy krájania mäsa.
So sadou steakových nožov Olivia je krájanie mäsa nielen jednoduchšie, ale aj príjemnejšie. Čepele z nehrdzavejúcej ocele zaručujú odolnosť a ostrý rez po dlhú dobu, takže súprava nožov si dlho zachová svoju použiteľnosť.
Vyberte si súpravu steakových nožov Barbecook BC-ACC-7049 Olivia z nehrdzavejúcej ocele a posuňte svoje zážitky z krájania mäsa na novú úroveň.</t>
        </is>
      </c>
    </row>
    <row r="62">
      <c r="A62" s="3" t="inlineStr">
        <is>
          <t>BC-ACC-7025</t>
        </is>
      </c>
      <c r="B62" s="2" t="inlineStr">
        <is>
          <t>Barbecook BC-ACC-7025 grilovacia vidlica v army štýle, 38 cm, khaki zelená rukoväť</t>
        </is>
      </c>
      <c r="C62" s="1" t="n">
        <v>14.39</v>
      </c>
      <c r="D62" s="7" t="n">
        <f>HYPERLINK("https://www.somogyi.sk/product/barbecook-bc-acc-7025-grilovacia-vidlica-v-army-style-38-cm-khaki-zelena-rukovat-bc-acc-7025-18760","https://www.somogyi.sk/product/barbecook-bc-acc-7025-grilovacia-vidlica-v-army-style-38-cm-khaki-zelena-rukovat-bc-acc-7025-18760")</f>
        <v>0.0</v>
      </c>
      <c r="E62" s="7" t="n">
        <f>HYPERLINK("https://www.somogyi.sk/data/img/product_main_images/small/18760.jpg","https://www.somogyi.sk/data/img/product_main_images/small/18760.jpg")</f>
        <v>0.0</v>
      </c>
      <c r="F62" s="2" t="inlineStr">
        <is>
          <t>5400269202934</t>
        </is>
      </c>
      <c r="G62" s="4" t="inlineStr">
        <is>
          <t>Hľadáte grilovaciu vidlicu, ktorá je nielen praktická, ale aj štýlová? Grilovacia vidlica Barbecook BC-ACC-7025 Army Style je ideálnou voľbou pre tých, ktorí chcú svoju grilovaciu súpravu obohatiť o jedinečný nástroj. 
Táto vidlička je vhodná nielen na otáčanie mäsa, ale aj rýb a zeleniny, takže uspokojí všetky vaše grilovacie potreby. Rukoväť vo vojenskom štýle khaki zelenej farby dodáva nástroju jedinečný vzhľad, zatiaľ čo ľahko čistiteľný materiál zaručuje, že vidlica si časom zachová svoju čistotu a kvalitu. Rozmery výrobku - 3,5 × 38 cm - sú ideálne na pohodlné používanie pri grilovaní, pričom nie sú príliš veľké ani ťažkopádne.
Vyberte si vidličku Barbecook BC-ACC-7025 v army štýle a spestrite si grilovanie nástrojom inšpirovaným vojenskou technikou, ktorý je vhodný na všetky úlohy.</t>
        </is>
      </c>
    </row>
    <row r="63">
      <c r="A63" s="3" t="inlineStr">
        <is>
          <t>GRT09</t>
        </is>
      </c>
      <c r="B63" s="2" t="inlineStr">
        <is>
          <t>BBQ set v taške, 4 kusy /nôž, vidlica, lopatka, štipec/</t>
        </is>
      </c>
      <c r="C63" s="1" t="n">
        <v>17.99</v>
      </c>
      <c r="D63" s="7" t="n">
        <f>HYPERLINK("https://www.somogyi.sk/product/bbq-set-v-taske-4-kusy-noz-vidlica-lopatka-stipec-grt09-19077","https://www.somogyi.sk/product/bbq-set-v-taske-4-kusy-noz-vidlica-lopatka-stipec-grt09-19077")</f>
        <v>0.0</v>
      </c>
      <c r="E63" s="7" t="n">
        <f>HYPERLINK("https://www.somogyi.sk/data/img/product_main_images/small/19077.jpg","https://www.somogyi.sk/data/img/product_main_images/small/19077.jpg")</f>
        <v>0.0</v>
      </c>
      <c r="F63" s="2" t="inlineStr">
        <is>
          <t>5999084970703</t>
        </is>
      </c>
      <c r="G63" s="4" t="inlineStr">
        <is>
          <t xml:space="preserve"> • obsah sady: kliešte, nôž, vidlička na mäso, lopatka na obracanie mäsa, taška 
 • kliešte:  
 • rozmery: 395 × 65 × 30 mm  
 • materiál: povrchovo upravený kov 
 • hmotnosť: 300 g 
 • nôž:  
 • rozmer čepele: 165 mm 
 • celkové rozmery: 415 × 30 mm 
 • materiál: povrchovo upravený kov 
 • hmotnosť: 135 g 
 • vidlička na mäso: 
 • rozmer vidlice: 70 mm 
 • celkové rozmery: 420×30 mm 
 • materiál: povrchovo upravený kov 
 • hmotnosť: 139 g 
 • lopatka na otáčanie mäsa:  
 • rozmery lopatky: 80 × 110 mm 
 • celkové rozmery: 425 × 80 × 30 mm 
 • materiál: povrchovo upravený kov 
 • hmotnosť: 200 g 
 • rozmery tašky (zložená): 450 × 140 × 40 mm 
 • materiál: tkanina (s lepenkovou výstužou) 
 • celková hmotnosť: 990 g</t>
        </is>
      </c>
    </row>
    <row r="64">
      <c r="A64" s="3" t="inlineStr">
        <is>
          <t>BC-ACC-7069</t>
        </is>
      </c>
      <c r="B64" s="2" t="inlineStr">
        <is>
          <t>Barbecook BC-ACC-7069 kliešte z nehrdzavejúcej ocele, rukoväť z kaučukového dreva, 40 cm</t>
        </is>
      </c>
      <c r="C64" s="1" t="n">
        <v>9.69</v>
      </c>
      <c r="D64" s="7" t="n">
        <f>HYPERLINK("https://www.somogyi.sk/product/barbecook-bc-acc-7069-klieste-z-nehrdzavejucej-ocele-rukovat-z-kaucukoveho-dreva-40-cm-bc-acc-7069-18755","https://www.somogyi.sk/product/barbecook-bc-acc-7069-klieste-z-nehrdzavejucej-ocele-rukovat-z-kaucukoveho-dreva-40-cm-bc-acc-7069-18755")</f>
        <v>0.0</v>
      </c>
      <c r="E64" s="7" t="n">
        <f>HYPERLINK("https://www.somogyi.sk/data/img/product_main_images/small/18755.jpg","https://www.somogyi.sk/data/img/product_main_images/small/18755.jpg")</f>
        <v>0.0</v>
      </c>
      <c r="F64" s="2" t="inlineStr">
        <is>
          <t>5400269240585</t>
        </is>
      </c>
      <c r="G64" s="4" t="inlineStr">
        <is>
          <t>Hľadáte ideálny nástroj, ktorý obstojí v každej situácii pri grilovaní? S kliešťami Barbecook BC-ACC-7069 z nehrdzavejúcej ocele je otáčanie a uchopenie potravín na grile jednoduchšie ako kedykoľvek predtým. 
Tento nástroj je určený pre tých, ktorí pri grilovaní očakávajú presnosť a spoľahlivosť. Vyrobené z kvalitnej nehrdzavejúcej ocele sú kliešte nielen trvanlivé a odolné, ale aj ľahko sa čistia, takže sa na ne môžete dlho spoľahnúť. Označenie FSC® zaručuje, že drevo použité na rukoväť pochádza z trvalo udržateľného zdroja, takže sa môžete pri každom grilovaní rozhodnúť pre ekologickú zodpovednosť.
Rozmery klieští - 6 × 4,5 × 40 cm - sú ideálne na bezpečné a efektívne otáčanie a uchopenie potravín, či už ide o mäso, zeleninu alebo dokonca malé grilované pokrmy.
Objavte nové dimenzie grilovania s kliešťami Barbecook BC-ACC-7069 z nehrdzavejúcej ocele.</t>
        </is>
      </c>
    </row>
    <row r="65">
      <c r="A65" s="3" t="inlineStr">
        <is>
          <t>BC-ACC-7094</t>
        </is>
      </c>
      <c r="B65" s="2" t="inlineStr">
        <is>
          <t>Grilovacia súprava z nehrdzavejúcej ocele BC-ACC-7094, drevená rukoväť</t>
        </is>
      </c>
      <c r="C65" s="1" t="n">
        <v>26.59</v>
      </c>
      <c r="D65" s="7" t="n">
        <f>HYPERLINK("https://www.somogyi.sk/product/grilovacia-suprava-z-nehrdzavejucej-ocele-bc-acc-7094-drevena-rukovat-bc-acc-7094-18719","https://www.somogyi.sk/product/grilovacia-suprava-z-nehrdzavejucej-ocele-bc-acc-7094-drevena-rukovat-bc-acc-7094-18719")</f>
        <v>0.0</v>
      </c>
      <c r="E65" s="7" t="n">
        <f>HYPERLINK("https://www.somogyi.sk/data/img/product_main_images/small/18719.jpg","https://www.somogyi.sk/data/img/product_main_images/small/18719.jpg")</f>
        <v>0.0</v>
      </c>
      <c r="F65" s="2" t="inlineStr">
        <is>
          <t>5400269240646</t>
        </is>
      </c>
      <c r="G65" s="4" t="inlineStr">
        <is>
          <t>Hľadáte dokonalé nástroje na grilovanie? Grilovacia súprava Barbecook BC-ACC-7094 z nehrdzavejúcej ocele je všetko, čo potrebujete na skvelé grilovanie. 
Súprava obsahuje špachtľu, vidlicu a kliešte, ktoré vám uľahčia akúkoľvek prácu. Drevené rukoväte s certifikátom FSC® sú nielen praktické, ale aj kvalitné.
Náradie je pohodlne uložené v závesných pútkach, takže ho môžete ľahko umiestniť vedľa grilu alebo uskladniť, keď ho nepoužívate. Materiál z nehrdzavejúcej ocele zaručuje odolnosť a ľahkú čistiteľnosť, zatiaľ čo dĺžka 470 mm náradia ponúka ideálnu veľkosť na všetky použitia.
Uľahčite si grilovanie a spríjemnite si ho so súpravou na grilovanie z nehrdzavejúcej ocele Barbecook!</t>
        </is>
      </c>
    </row>
    <row r="66">
      <c r="A66" s="3" t="inlineStr">
        <is>
          <t>GRT05</t>
        </is>
      </c>
      <c r="B66" s="2" t="inlineStr">
        <is>
          <t>Teflónová grilovacia platňa, 2 ks, 400x300x0,2 mm</t>
        </is>
      </c>
      <c r="C66" s="1" t="n">
        <v>3.79</v>
      </c>
      <c r="D66" s="7" t="n">
        <f>HYPERLINK("https://www.somogyi.sk/product/teflonova-grilovacia-platna-2-ks-400x300x0-2-mm-grt05-19079","https://www.somogyi.sk/product/teflonova-grilovacia-platna-2-ks-400x300x0-2-mm-grt05-19079")</f>
        <v>0.0</v>
      </c>
      <c r="E66" s="7" t="n">
        <f>HYPERLINK("https://www.somogyi.sk/data/img/product_main_images/small/19079.jpg","https://www.somogyi.sk/data/img/product_main_images/small/19079.jpg")</f>
        <v>0.0</v>
      </c>
      <c r="F66" s="2" t="inlineStr">
        <is>
          <t>5999084970727</t>
        </is>
      </c>
      <c r="G66" s="4" t="inlineStr">
        <is>
          <t xml:space="preserve"> • použiteľná na grile aj v rúre 
 • vďaka nepriľnavému povrchu sa ľahko čistí 
 • 2 platne 
 • rozmery: 400 x 300 x 0,2 mm 
 • materiál: sklenené vlákno s teflónovým povrchom</t>
        </is>
      </c>
    </row>
    <row r="67">
      <c r="A67" s="3" t="inlineStr">
        <is>
          <t>BC-ACC-7026</t>
        </is>
      </c>
      <c r="B67" s="2" t="inlineStr">
        <is>
          <t>Barbecook BC-ACC-7026 obracačka v armádnom štýle, 38 cm, khaki zelená rukoväť</t>
        </is>
      </c>
      <c r="C67" s="1" t="n">
        <v>14.39</v>
      </c>
      <c r="D67" s="7" t="n">
        <f>HYPERLINK("https://www.somogyi.sk/product/barbecook-bc-acc-7026-obracacka-v-armadnom-style-38-cm-khaki-zelena-rukovat-bc-acc-7026-18761","https://www.somogyi.sk/product/barbecook-bc-acc-7026-obracacka-v-armadnom-style-38-cm-khaki-zelena-rukovat-bc-acc-7026-18761")</f>
        <v>0.0</v>
      </c>
      <c r="E67" s="7" t="n">
        <f>HYPERLINK("https://www.somogyi.sk/data/img/product_main_images/small/18761.jpg","https://www.somogyi.sk/data/img/product_main_images/small/18761.jpg")</f>
        <v>0.0</v>
      </c>
      <c r="F67" s="2" t="inlineStr">
        <is>
          <t>5400269202958</t>
        </is>
      </c>
      <c r="G67" s="4" t="inlineStr">
        <is>
          <t>Chcete jedinečný a praktický nástroj, ktorý vám uľahčí grilovanie? Obracačka Barbecook BC-ACC-7026 v armádnom štýle je ideálnou voľbou pre tých, ktorí si cenia štýl rovnako ako funkčnosť. 
Táto obracačka je ideálna na otáčanie mäsa, rýb a zeleniny, takže ste pripravení na akúkoľvek grilovaciu úlohu. Rukoväť v khaki zelenej farbe okamžite upúta pozornosť a do vášho grilovacieho príslušenstva vnesie vojensky inšpirovaný nádych, čím pozdvihne zážitok z grilovania vonku. Vďaka ľahko čistiteľnému materiálu si obracačka  zachová svoj pôvodný stav a zostane dlho hygienická. Rozmery výrobku - 8,5 x 1,5 x 38 cm - sú ideálne na pohodlné a efektívne používanie.
Ozvláštnite si každý okamih grilovania s obracačkou Barbecook BC-ACC-7026 v army štýle.</t>
        </is>
      </c>
    </row>
    <row r="68">
      <c r="A68" s="3" t="inlineStr">
        <is>
          <t>BC-ACC-7070</t>
        </is>
      </c>
      <c r="B68" s="2" t="inlineStr">
        <is>
          <t>Barbecook BC-ACC-7070 luxusné kliešte z nehrdzavejúcej ocele, rukoväť z kaučukového dreva, 40 cm</t>
        </is>
      </c>
      <c r="C68" s="1" t="n">
        <v>10.79</v>
      </c>
      <c r="D68" s="7" t="n">
        <f>HYPERLINK("https://www.somogyi.sk/product/barbecook-bc-acc-7070-luxusne-klieste-z-nehrdzavejucej-ocele-rukovat-z-kaucukoveho-dreva-40-cm-bc-acc-7070-18756","https://www.somogyi.sk/product/barbecook-bc-acc-7070-luxusne-klieste-z-nehrdzavejucej-ocele-rukovat-z-kaucukoveho-dreva-40-cm-bc-acc-7070-18756")</f>
        <v>0.0</v>
      </c>
      <c r="E68" s="7" t="n">
        <f>HYPERLINK("https://www.somogyi.sk/data/img/product_main_images/small/18756.jpg","https://www.somogyi.sk/data/img/product_main_images/small/18756.jpg")</f>
        <v>0.0</v>
      </c>
      <c r="F68" s="2" t="inlineStr">
        <is>
          <t>5400269240592</t>
        </is>
      </c>
      <c r="G68" s="4" t="inlineStr">
        <is>
          <t>Chcete dodať každému momentu grilovania nádych luxusu? S luxusnými kliešťami Barbecook BC-ACC-7070 z nehrdzavejúcej ocele to ľahko dosiahnete. Ideálna voľba pre tých, ktorí chcú pri grilovaní nielen funkčnosť, ale aj eleganciu a pohodlie.
Táto vysokokvalitná rukoväť z nehrdzavejúcej ocele zaručuje odolnosť a ľahkú čistiteľnosť, zatiaľ čo rukoväť z kaučukového dreva s označením FSC® ponúka udržateľnosť a bezkonkurenčný komfort počas používania. Ergonomický dizajn zaručuje jednoduché a presné otáčanie a uchopenie potravín, čo zvyšuje zážitok z grilovania.
Luxusná rukoväť z nehrdzavejúcej ocele Barbecook BC-ACC-7070 je nielen praktická, ale môže byť aj štýlovým doplnkom vašej grilovacej súpravy, ktorý vám uľahčí každý krok pri grilovaní. Rukoväť z gumovníkového dreva poskytuje nielen pohodlné uchopenie, ale prispieva aj k estetickému vzhľadu klieští, čím im dodáva štýlový vzhľad medzi vašimi grilovacími nástrojmi.
Dodajte svojmu grilovaniu nádych luxusu s luxusnými kliešťami z nehrdzavejúcej ocele Barbecook BC-ACC-7070.</t>
        </is>
      </c>
    </row>
    <row r="69">
      <c r="A69" s="3" t="inlineStr">
        <is>
          <t>BC-ACC-7099</t>
        </is>
      </c>
      <c r="B69" s="2" t="inlineStr">
        <is>
          <t>Barbecook BC-ACC-7099 dlhé rukavice na grilovanie z bavlny a hliníka, čierne, 40 cm</t>
        </is>
      </c>
      <c r="C69" s="1" t="n">
        <v>17.59</v>
      </c>
      <c r="D69" s="7" t="n">
        <f>HYPERLINK("https://www.somogyi.sk/product/barbecook-bc-acc-7099-dlhe-rukavice-na-grilovanie-z-bavlny-a-hlinika-cierne-40-cm-bc-acc-7099-18770","https://www.somogyi.sk/product/barbecook-bc-acc-7099-dlhe-rukavice-na-grilovanie-z-bavlny-a-hlinika-cierne-40-cm-bc-acc-7099-18770")</f>
        <v>0.0</v>
      </c>
      <c r="E69" s="7" t="n">
        <f>HYPERLINK("https://www.somogyi.sk/data/img/product_main_images/small/18770.jpg","https://www.somogyi.sk/data/img/product_main_images/small/18770.jpg")</f>
        <v>0.0</v>
      </c>
      <c r="F69" s="2" t="inlineStr">
        <is>
          <t>5400269238834</t>
        </is>
      </c>
      <c r="G69" s="4" t="inlineStr">
        <is>
          <t>Chcete si pri grilovaní chrániť ruky? Dlhé bavlnené rukavice na grilovanie Barbecook BC-ACC-7099 sú pre vás ideálnym riešením. 
Tieto vysokokvalitné rukavice zo 100 % bavlny s extra dĺžkou a veľkosťou 40 cm ponúkajú pohodlie a ochranu pred teplom z grilu.
Hliníková izolačná vrstva striebornej farby zaručuje vysokú úroveň ochrany pred teplom, takže môžete bezpečne a pohodlne manipulovať s horúcim náčiním. Čierna farba dodáva rukaviciam eleganciu a štýl a zároveň poskytuje praktickú funkciu.
Kúpte si dlhé bavlnené rukavice na grilovanie Barbecook a užite si každý okamih grilovania bez akýchkoľvek problémov!</t>
        </is>
      </c>
    </row>
    <row r="70">
      <c r="A70" s="3" t="inlineStr">
        <is>
          <t>BC-ACC-7083</t>
        </is>
      </c>
      <c r="B70" s="2" t="inlineStr">
        <is>
          <t>Barbecook BC-ACC-7083 grilovacia sieť, 36x42cm</t>
        </is>
      </c>
      <c r="C70" s="1" t="n">
        <v>10.09</v>
      </c>
      <c r="D70" s="7" t="n">
        <f>HYPERLINK("https://www.somogyi.sk/product/barbecook-bc-acc-7083-grilovacia-siet-36x42cm-bc-acc-7083-18736","https://www.somogyi.sk/product/barbecook-bc-acc-7083-grilovacia-siet-36x42cm-bc-acc-7083-18736")</f>
        <v>0.0</v>
      </c>
      <c r="E70" s="7" t="n">
        <f>HYPERLINK("https://www.somogyi.sk/data/img/product_main_images/small/18736.jpg","https://www.somogyi.sk/data/img/product_main_images/small/18736.jpg")</f>
        <v>0.0</v>
      </c>
      <c r="F70" s="2" t="inlineStr">
        <is>
          <t>5400269238773</t>
        </is>
      </c>
      <c r="G70" s="4" t="inlineStr">
        <is>
          <t xml:space="preserve"> • farba: sivá farba 
 • rozmery: šírka × dĺžka × hrúbka: 36 × 42 × 0,1 cm</t>
        </is>
      </c>
    </row>
    <row r="71">
      <c r="A71" s="3" t="inlineStr">
        <is>
          <t>BC-ACC-7091</t>
        </is>
      </c>
      <c r="B71" s="2" t="inlineStr">
        <is>
          <t>Barbecook BC-ACC-7091 chrómované kliešte na klobásy, 40 cm</t>
        </is>
      </c>
      <c r="C71" s="1" t="n">
        <v>5.99</v>
      </c>
      <c r="D71" s="7" t="n">
        <f>HYPERLINK("https://www.somogyi.sk/product/barbecook-bc-acc-7091-chromovane-klieste-na-klobasy-40-cm-bc-acc-7091-18824","https://www.somogyi.sk/product/barbecook-bc-acc-7091-chromovane-klieste-na-klobasy-40-cm-bc-acc-7091-18824")</f>
        <v>0.0</v>
      </c>
      <c r="E71" s="7" t="n">
        <f>HYPERLINK("https://www.somogyi.sk/data/img/product_main_images/small/18824.jpg","https://www.somogyi.sk/data/img/product_main_images/small/18824.jpg")</f>
        <v>0.0</v>
      </c>
      <c r="F71" s="2" t="inlineStr">
        <is>
          <t>5400269209698</t>
        </is>
      </c>
      <c r="G71" s="4" t="inlineStr">
        <is>
          <t>Už vás nebaví tradičné grilovanie a chcete niečo nové? S chrómovými kliešťami na klobásy Barbecook BC-ACC-7091 môžete ľahko obracať klobásy alebo aj iné grilované potraviny bez toho, aby ste sa popálili alebo poškodili jedlo.
Chrómovaný dizajn klieští na klobásy poskytuje nielen estetický vzhľad, ale sľubuje aj dlhodobé používanie a jednoduché čistenie. A žiaruvzdorná PVC rukoväť zaručuje, že vaše ruky budú pri používaní klieští chránené pred teplom. Jej ideálna dĺžka (40 cm) vám umožňuje kontrolovať proces varenia z pohodlnej vzdialenosti. 
Kúpte si chrómové kliešte na klobásy Barbecook BC-ACC-7091 a urobte si grilovanie jednoduchšie a bezpečnejšie!</t>
        </is>
      </c>
    </row>
    <row r="72">
      <c r="A72" s="3" t="inlineStr">
        <is>
          <t>BC-ACC-7071</t>
        </is>
      </c>
      <c r="B72" s="2" t="inlineStr">
        <is>
          <t>Barbecook BC-ACC-7071 nerezová obracačka, rukoväť z kaučukového dreva, 46 cm</t>
        </is>
      </c>
      <c r="C72" s="1" t="n">
        <v>9.69</v>
      </c>
      <c r="D72" s="7" t="n">
        <f>HYPERLINK("https://www.somogyi.sk/product/barbecook-bc-acc-7071-nerezova-obracacka-rukovat-z-kaucukoveho-dreva-46-cm-bc-acc-7071-18757","https://www.somogyi.sk/product/barbecook-bc-acc-7071-nerezova-obracacka-rukovat-z-kaucukoveho-dreva-46-cm-bc-acc-7071-18757")</f>
        <v>0.0</v>
      </c>
      <c r="E72" s="7" t="n">
        <f>HYPERLINK("https://www.somogyi.sk/data/img/product_main_images/small/18757.jpg","https://www.somogyi.sk/data/img/product_main_images/small/18757.jpg")</f>
        <v>0.0</v>
      </c>
      <c r="F72" s="2" t="inlineStr">
        <is>
          <t>5400269240608</t>
        </is>
      </c>
      <c r="G72" s="4" t="inlineStr">
        <is>
          <t>Aké príslušenstvo ku grilu je nevyhnutné pre dokonalé pečenie? Odpoveďou je obracačka Barbecook BC-ACC-7071 z nehrdzavejúcej ocele, nepostrádateľná pomôcka na presné a bezpečné otáčanie potravín pri všetkých grilovacích činnostiach.
Táto vysokokvalitná obracačka je vyrobená z nehrdzavejúcej ocele, ktorá zaručuje dlhodobé používanie, zatiaľ čo rukoväť z kaučukového dreva s označením FSC® predstavuje nielen udržateľnosť, ale zaručuje aj pohodlné uchopenie pri grilovaní. A na pohodlné uskladnenie slúži háčik, vďaka ktorému bude lopatka vždy poruke, keď ju budete potrebovať.
Či už otáčate mäso, zeleninu alebo dokonca morské plody, s obracačkou Barbecook BC-ACC-7071 je každá grilovacia úloha jednoduchá a príjemná. Vďaka jej precíznemu dizajnu sa všetky ingrediencie môžu rovnomerne a dokonale prepekať, čo zaručuje chutné a efektné pochúťky.
Vďaka dĺžke 46 cm si môžete chrániť ruky pred horúcim grilom.
Doplňte svoj zážitok z grilovania o obracačku Barbecook BC-ACC-7071 z nehrdzavejúcej ocele.</t>
        </is>
      </c>
    </row>
    <row r="73">
      <c r="A73" s="3" t="inlineStr">
        <is>
          <t>BC-ACC-7447</t>
        </is>
      </c>
      <c r="B73" s="2" t="inlineStr">
        <is>
          <t>N/A</t>
        </is>
      </c>
      <c r="C73" s="1" t="n">
        <v>82.19</v>
      </c>
      <c r="D73" s="7" t="n">
        <f>HYPERLINK("https://www.somogyi.sk/product/n-a-bc-acc-7447-18769","https://www.somogyi.sk/product/n-a-bc-acc-7447-18769")</f>
        <v>0.0</v>
      </c>
      <c r="E73" s="7" t="n">
        <f>HYPERLINK("https://www.somogyi.sk/data/img/product_main_images/small/18769.jpg","https://www.somogyi.sk/data/img/product_main_images/small/18769.jpg")</f>
        <v>0.0</v>
      </c>
      <c r="F73" s="2" t="inlineStr">
        <is>
          <t>5404035700679</t>
        </is>
      </c>
      <c r="G73" s="4"/>
    </row>
    <row r="74">
      <c r="A74" s="3" t="inlineStr">
        <is>
          <t>BC-ACC-7062</t>
        </is>
      </c>
      <c r="B74" s="2" t="inlineStr">
        <is>
          <t>Barbecook BC-ACC-7062 nerezová obracačka na hamburgery, 30 cm</t>
        </is>
      </c>
      <c r="C74" s="1" t="n">
        <v>10.09</v>
      </c>
      <c r="D74" s="7" t="n">
        <f>HYPERLINK("https://www.somogyi.sk/product/barbecook-bc-acc-7062-nerezova-obracacka-na-hamburgery-30-cm-bc-acc-7062-18731","https://www.somogyi.sk/product/barbecook-bc-acc-7062-nerezova-obracacka-na-hamburgery-30-cm-bc-acc-7062-18731")</f>
        <v>0.0</v>
      </c>
      <c r="E74" s="7" t="n">
        <f>HYPERLINK("https://www.somogyi.sk/data/img/product_main_images/small/18731.jpg","https://www.somogyi.sk/data/img/product_main_images/small/18731.jpg")</f>
        <v>0.0</v>
      </c>
      <c r="F74" s="2" t="inlineStr">
        <is>
          <t>5400269240691</t>
        </is>
      </c>
      <c r="G74" s="4" t="inlineStr">
        <is>
          <t>Hľadáte dokonalý nástroj na profesionálne otáčanie hamburgerov na grile? S obracačkou hamburgerov Barbecook BC-ACC-7062 z nehrdzavejúcej ocele to bude hračka! 
Tento nástroj je ideálny na obracanie nielen hamburgerových placiek, ale aj mäsa a zeleniny, takže splní všetky vaše grilovacie potreby.
Je vyrobený z nehrdzavejúcej ocele, je nielen odolný a spoľahlivý, ale aj ľahko sa čistí, takže čistenie po grilovaní nebude problém. Vďaka značke FSC® nielenže šetríte životné prostredie, ale máte aj záruku kvalitného výrobku.
Obracačka na hamburgery s rozmermi 30 × 12 × cm má ideálnu veľkosť, aby ste si ľahko poradili aj s najväčšími hamburgerovými plackami. Ergonomicky navrhnutá rukoväť zaručuje, že každé otočenie bude presné a pohodlné.
Doplňte svoje zážitky z grilovania s obracačkou na hamburgery Barbecook BC-ACC-7062 z nehrdzavejúcej ocele.</t>
        </is>
      </c>
    </row>
    <row r="75">
      <c r="A75" s="3" t="inlineStr">
        <is>
          <t>BC-ACC-7072</t>
        </is>
      </c>
      <c r="B75" s="2" t="inlineStr">
        <is>
          <t>Barbecook BC-ACC-7072 grilovacia vidlica z nehrdzavejúcej ocele, rukoväť z kaučukového dreva, 46 cm</t>
        </is>
      </c>
      <c r="C75" s="1" t="n">
        <v>9.69</v>
      </c>
      <c r="D75" s="7" t="n">
        <f>HYPERLINK("https://www.somogyi.sk/product/barbecook-bc-acc-7072-grilovacia-vidlica-z-nehrdzavejucej-ocele-rukovat-z-kaucukoveho-dreva-46-cm-bc-acc-7072-18758","https://www.somogyi.sk/product/barbecook-bc-acc-7072-grilovacia-vidlica-z-nehrdzavejucej-ocele-rukovat-z-kaucukoveho-dreva-46-cm-bc-acc-7072-18758")</f>
        <v>0.0</v>
      </c>
      <c r="E75" s="7" t="n">
        <f>HYPERLINK("https://www.somogyi.sk/data/img/product_main_images/small/18758.jpg","https://www.somogyi.sk/data/img/product_main_images/small/18758.jpg")</f>
        <v>0.0</v>
      </c>
      <c r="F75" s="2" t="inlineStr">
        <is>
          <t>5400269240615</t>
        </is>
      </c>
      <c r="G75" s="4" t="inlineStr">
        <is>
          <t>Zaujíma vás, ako si grilovanie ešte viac uľahčiť a spríjemniť? Grilovacia vidlica Barbecook BC-ACC-7072 z nehrdzavejúcej ocele je ideálnou voľbou pre všetkých majstrov grilovania, ktorí uprednostňujú presné a pohodlné príslušenstvo.
Táto grilovacia vidlica prémiovej kvality je vyrobená z nehrdzavejúcej ocele, ktorá zaručuje odolnosť a dlhú životnosť, zatiaľ čo rukoväť z kaučukového dreva s označením FSC® zaručuje ekologickú voľbu a pohodlné držanie. Praktická konštrukcia s háčikom zaručuje, že vidlica bude vždy na dosah, kedykoľvek ju budete potrebovať.
Či už obraciate mäso, zeleninu alebo ryby, grilovacia vidlička Barbecook BC-ACC-7072 vám pomôže udržať všetky suroviny pod dokonalou kontrolou. Vďaka pohodlnej rukoväti vám pôjde grilovanie hladko aj dlhšie, zatiaľ čo vynikajúce použitie materiálov zaručuje, že vám nástroj bude slúžiť dlhé roky.
Objavte nové dimenzie pohodlného a štýlového grilovania s grilovacou vidlicou Barbecook BC-ACC-7072 z nehrdzavejúcej ocele.</t>
        </is>
      </c>
    </row>
    <row r="76">
      <c r="A76" s="3" t="inlineStr">
        <is>
          <t>BC-ACC-7050</t>
        </is>
      </c>
      <c r="B76" s="2" t="inlineStr">
        <is>
          <t>Plastový ochranný koberec Barbecook BC-ACC-7050, 120x80 cm, čierny</t>
        </is>
      </c>
      <c r="C76" s="1" t="n">
        <v>41.89</v>
      </c>
      <c r="D76" s="7" t="n">
        <f>HYPERLINK("https://www.somogyi.sk/product/plastovy-ochranny-koberec-barbecook-bc-acc-7050-120x80-cm-cierny-bc-acc-7050-18780","https://www.somogyi.sk/product/plastovy-ochranny-koberec-barbecook-bc-acc-7050-120x80-cm-cierny-bc-acc-7050-18780")</f>
        <v>0.0</v>
      </c>
      <c r="E76" s="7" t="n">
        <f>HYPERLINK("https://www.somogyi.sk/data/img/product_main_images/small/18780.jpg","https://www.somogyi.sk/data/img/product_main_images/small/18780.jpg")</f>
        <v>0.0</v>
      </c>
      <c r="F76" s="2" t="inlineStr">
        <is>
          <t>5400269210588</t>
        </is>
      </c>
      <c r="G76" s="4" t="inlineStr">
        <is>
          <t>Obávate sa mastnoty a nečistôt na terase alebo podlahe v kuchyni pri grilovaní? Plastový ochranný koberec  Barbecook BC-ACC-7050 je dokonalým riešením na ochranu povrchu pred všetkými druhmi nečistôt a mastnoty, takže si môžete vychutnať každý okamih grilovania bez starostí s čistením.
Táto praktická a protišmyková ochranná rohož poskytuje nielen účinnú ochranu, ale vďaka svojej čiernej farbe je aj štýlová a diskrétna. Ľahko sa čistí, takže upratovanie po použití nebude problém. Je dôležité poznamenať, že podložka nie je odolná voči teplu, preto by sa mala uchovávať mimo priamych zdrojov tepla.
Rozmery podložky - 120x0,2x80 cm - sú dostatočne veľké na to, aby poskytli dostatočnú ochranu pod väčšinu grilovacích a vonkajších varných plôch.
Urobte si grilovanie bezproblémové s plastovým ochranným kobercom  Barbecook BC-ACC-7050, ktorý udrží vašu podlahu čistú.</t>
        </is>
      </c>
    </row>
    <row r="77">
      <c r="A77" s="3" t="inlineStr">
        <is>
          <t>BC-ACC-7125</t>
        </is>
      </c>
      <c r="B77" s="2" t="inlineStr">
        <is>
          <t>Grilovacia obracačka na ryby z nehrdzavejúcej ocele BC-ACC-7125 s drevenou rukoväťou, 37 cm</t>
        </is>
      </c>
      <c r="C77" s="1" t="n">
        <v>15.09</v>
      </c>
      <c r="D77" s="7" t="n">
        <f>HYPERLINK("https://www.somogyi.sk/product/grilovacia-obracacka-na-ryby-z-nehrdzavejucej-ocele-bc-acc-7125-s-drevenou-rukovatou-37-cm-bc-acc-7125-18732","https://www.somogyi.sk/product/grilovacia-obracacka-na-ryby-z-nehrdzavejucej-ocele-bc-acc-7125-s-drevenou-rukovatou-37-cm-bc-acc-7125-18732")</f>
        <v>0.0</v>
      </c>
      <c r="E77" s="7" t="n">
        <f>HYPERLINK("https://www.somogyi.sk/data/img/product_main_images/small/18732.jpg","https://www.somogyi.sk/data/img/product_main_images/small/18732.jpg")</f>
        <v>0.0</v>
      </c>
      <c r="F77" s="2" t="inlineStr">
        <is>
          <t>5400269203009</t>
        </is>
      </c>
      <c r="G77" s="4" t="inlineStr">
        <is>
          <t>Hľadáte spôsob, ako dokonale ugrilovať ryby bez toho, aby sa rozpadli? Obracačka na ryby Barbecook BC-ACC-7125 z nehrdzavejúcej ocele vám presne to ponúka. 
Tento nástroj je špeciálne navrhnutý na obracanie rýb, vďaka čomu môžete svoje obľúbené morské plody na grile ľahko a pohodlne spracovať.
Drevená rukoväť výrobku dodáva nielen štýlový vzhľad, ale je aj pohodlná na používanie, takže vydrží aj dlhšie grilovanie. Drevená rukoväť s označením FSC® pochádza z udržateľného lesného hospodárstva, takže prispievate nielen k pôžitku z grilovania, ale aj k ekologicky uvedomelému životnému štýlu. Vďaka praktickému pútku na zavesenie môžete rotačný gril na ryby ľahko uložiť, aby ste ho mali vždy po ruke, keď ho budete potrebovať.
Urobte si grilovanie bezproblémové s obracačkou na ryby Barbecook z nehrdzavejúcej ocele, ktorá je ideálnym spoločníkom na dokonalú prípravu rýb!</t>
        </is>
      </c>
    </row>
    <row r="78">
      <c r="A78" s="3" t="inlineStr">
        <is>
          <t>GRT02</t>
        </is>
      </c>
      <c r="B78" s="2" t="inlineStr">
        <is>
          <t>Obdĺžnikové nepriľnavé sito, s rukoväťou, 305x305x50 mm</t>
        </is>
      </c>
      <c r="C78" s="1" t="n">
        <v>11.79</v>
      </c>
      <c r="D78" s="7" t="n">
        <f>HYPERLINK("https://www.somogyi.sk/product/obdlznikove-neprilnave-sito-s-rukovatou-305x305x50-mm-grt02-19072","https://www.somogyi.sk/product/obdlznikove-neprilnave-sito-s-rukovatou-305x305x50-mm-grt02-19072")</f>
        <v>0.0</v>
      </c>
      <c r="E78" s="7" t="n">
        <f>HYPERLINK("https://www.somogyi.sk/data/img/product_main_images/small/19072.jpg","https://www.somogyi.sk/data/img/product_main_images/small/19072.jpg")</f>
        <v>0.0</v>
      </c>
      <c r="F78" s="2" t="inlineStr">
        <is>
          <t>5999084970659</t>
        </is>
      </c>
      <c r="G78" s="4" t="inlineStr">
        <is>
          <t xml:space="preserve"> • rozmery: 305 x 305 x 50 mm</t>
        </is>
      </c>
    </row>
    <row r="79">
      <c r="A79" s="3" t="inlineStr">
        <is>
          <t>GRT10</t>
        </is>
      </c>
      <c r="B79" s="2" t="inlineStr">
        <is>
          <t>Kliešte na mäso, chrómovaná oceľ, 39 cm</t>
        </is>
      </c>
      <c r="C79" s="1" t="n">
        <v>3.19</v>
      </c>
      <c r="D79" s="7" t="n">
        <f>HYPERLINK("https://www.somogyi.sk/product/klieste-na-maso-chromovana-ocel-39-cm-grt10-19078","https://www.somogyi.sk/product/klieste-na-maso-chromovana-ocel-39-cm-grt10-19078")</f>
        <v>0.0</v>
      </c>
      <c r="E79" s="7" t="n">
        <f>HYPERLINK("https://www.somogyi.sk/data/img/product_main_images/small/19078.jpg","https://www.somogyi.sk/data/img/product_main_images/small/19078.jpg")</f>
        <v>0.0</v>
      </c>
      <c r="F79" s="2" t="inlineStr">
        <is>
          <t>5999084970710</t>
        </is>
      </c>
      <c r="G79" s="4" t="inlineStr">
        <is>
          <t xml:space="preserve"> • rozmery hlavy klieští: 90 × 45 mm  
 • celkové rozmery: 390 × 95 mm 
 • materiál: chrómovaná oceľ, pogumovaná rukoväť 
 • hmotnosť: 135 g</t>
        </is>
      </c>
    </row>
    <row r="80">
      <c r="A80" s="3" t="inlineStr">
        <is>
          <t>GRT07</t>
        </is>
      </c>
      <c r="B80" s="2" t="inlineStr">
        <is>
          <t>BBQ nehrdzavejúca kovová tácka , 345×242×25mm</t>
        </is>
      </c>
      <c r="C80" s="1" t="n">
        <v>5.09</v>
      </c>
      <c r="D80" s="7" t="n">
        <f>HYPERLINK("https://www.somogyi.sk/product/bbq-nehrdzavejuca-kovova-tacka-345-242-25mm-grt07-19075","https://www.somogyi.sk/product/bbq-nehrdzavejuca-kovova-tacka-345-242-25mm-grt07-19075")</f>
        <v>0.0</v>
      </c>
      <c r="E80" s="7" t="n">
        <f>HYPERLINK("https://www.somogyi.sk/data/img/product_main_images/small/19075.jpg","https://www.somogyi.sk/data/img/product_main_images/small/19075.jpg")</f>
        <v>0.0</v>
      </c>
      <c r="F80" s="2" t="inlineStr">
        <is>
          <t>5999084970680</t>
        </is>
      </c>
      <c r="G80" s="4" t="inlineStr">
        <is>
          <t xml:space="preserve"> • s perforáciou na odvádzanie prebytočného tuku 
 • materiál: nerezová oceľ 
 • rozmery: 345 × 242 × 25 mm</t>
        </is>
      </c>
    </row>
    <row r="81">
      <c r="A81" s="3" t="inlineStr">
        <is>
          <t>BC-ACC-7470</t>
        </is>
      </c>
      <c r="B81" s="2" t="inlineStr">
        <is>
          <t>Barbecook BC-ACC-7470 kožené rukavice na grilovanie</t>
        </is>
      </c>
      <c r="C81" s="1" t="n">
        <v>33.69</v>
      </c>
      <c r="D81" s="7" t="n">
        <f>HYPERLINK("https://www.somogyi.sk/product/barbecook-bc-acc-7470-kozene-rukavice-na-grilovanie-bc-acc-7470-18726","https://www.somogyi.sk/product/barbecook-bc-acc-7470-kozene-rukavice-na-grilovanie-bc-acc-7470-18726")</f>
        <v>0.0</v>
      </c>
      <c r="E81" s="7" t="n">
        <f>HYPERLINK("https://www.somogyi.sk/data/img/product_main_images/small/18726.jpg","https://www.somogyi.sk/data/img/product_main_images/small/18726.jpg")</f>
        <v>0.0</v>
      </c>
      <c r="F81" s="2" t="inlineStr">
        <is>
          <t>5404035706749</t>
        </is>
      </c>
      <c r="G81" s="4" t="inlineStr">
        <is>
          <t>Premýšľali ste niekedy o ochrane rúk pri grilovaní? Kožené grilovacie rukavice Barbecook BC-ACC-7470 sú vynikajúcou voľbou pre každého grilovača, ktorý chce variť bezpečne. 
Tieto žiaruvzdorné rukavice sú vyrobené zo 100 % kože a poskytujú ochranu až do 200 °C, takže sa môžete sústrediť na kúzlo chuti bez obáv o zdravie svojich rúk. Čierne dlaňové a prstové časti rukavíc sú menej náchylné na znečistenie, takže si dlhšie zachovajú čistý vzhľad aj pri intenzívnom používaní. Dlhý driek poskytuje ochranu predlaktia, zatiaľ čo praktické pútko umožňuje jednoduché zavesenie rukavíc, keď ich nepoužívate.
Staňte sa profesionálom v grilovaní s koženými grilovacími rukavicami Barbecook BC-ACC-7470, ktoré poskytujú nielen ochranu, ale budú aj štýlovým doplnkom vašej grilovacej výbavy.</t>
        </is>
      </c>
    </row>
    <row r="82">
      <c r="A82" s="3" t="inlineStr">
        <is>
          <t>BC-ACC-7123</t>
        </is>
      </c>
      <c r="B82" s="2" t="inlineStr">
        <is>
          <t>Barbecook BC-ACC-7123 Dve obracačky s drevenou rukoväťou, 31 cm</t>
        </is>
      </c>
      <c r="C82" s="1" t="n">
        <v>17.19</v>
      </c>
      <c r="D82" s="7" t="n">
        <f>HYPERLINK("https://www.somogyi.sk/product/barbecook-bc-acc-7123-dve-obracacky-s-drevenou-rukovatou-31-cm-bc-acc-7123-18759","https://www.somogyi.sk/product/barbecook-bc-acc-7123-dve-obracacky-s-drevenou-rukovatou-31-cm-bc-acc-7123-18759")</f>
        <v>0.0</v>
      </c>
      <c r="E82" s="7" t="n">
        <f>HYPERLINK("https://www.somogyi.sk/data/img/product_main_images/small/18759.jpg","https://www.somogyi.sk/data/img/product_main_images/small/18759.jpg")</f>
        <v>0.0</v>
      </c>
      <c r="F82" s="2" t="inlineStr">
        <is>
          <t>5400269203016</t>
        </is>
      </c>
      <c r="G82" s="4" t="inlineStr">
        <is>
          <t>Chcete si vychutnať každý okamih grilovania bez námahy a efektívne? Barbecook BC-ACC-7123 2ks obracačiek z nehrdzavejúcej ocele by mohla byť pre vás ideálnym pomocníkom. 
Táto dvojdielna súprava obracačiek je ideálna na otáčanie rôznych potravín, či už ide o mäso, zeleninu alebo dokonca pochúťky pripravované na grile.
Výrobok s označením FSC® sa môže pochváliť drevenou rukoväťou, ktorá mu dodáva nielen štýlový vzhľad, ale aj pohodlné a bezpečné držanie. Vďaka závesnému pútku na pohodlné skladovanie sú obracačky vždy po ruke, keď ich potrebujete. Rozmery dvoch obracačiek, ktoré sú súčasťou balenia - 31 × 12 cm - sú ideálne na manipuláciu s potravinami rôznych veľkostí a hrúbok.
Objavte výhody obracačiek Barbecook z nehrdzavejúcej ocele a uľahčite a spríjemnite si grilovanie!</t>
        </is>
      </c>
    </row>
    <row r="83">
      <c r="A83" s="3" t="inlineStr">
        <is>
          <t>BC-ACC-7211</t>
        </is>
      </c>
      <c r="B83" s="2" t="inlineStr">
        <is>
          <t>Hrniec Barbecook BC-ACC-7211 z nehrdzavejúcej ocele so silikónovou kefou</t>
        </is>
      </c>
      <c r="C83" s="1" t="n">
        <v>20.19</v>
      </c>
      <c r="D83" s="7" t="n">
        <f>HYPERLINK("https://www.somogyi.sk/product/hrniec-barbecook-bc-acc-7211-z-nehrdzavejucej-ocele-so-silikonovou-kefou-bc-acc-7211-18767","https://www.somogyi.sk/product/hrniec-barbecook-bc-acc-7211-z-nehrdzavejucej-ocele-so-silikonovou-kefou-bc-acc-7211-18767")</f>
        <v>0.0</v>
      </c>
      <c r="E83" s="7" t="n">
        <f>HYPERLINK("https://www.somogyi.sk/data/img/product_main_images/small/18767.jpg","https://www.somogyi.sk/data/img/product_main_images/small/18767.jpg")</f>
        <v>0.0</v>
      </c>
      <c r="F83" s="2" t="inlineStr">
        <is>
          <t>5420059844786</t>
        </is>
      </c>
      <c r="G83" s="4" t="inlineStr">
        <is>
          <t>Chcete profesionálne dokonalú marinádu na grilovanie? Nádoba Barbecook BC-ACC-7211 z nehrdzavejúcej ocele so silikónovým štetcom je určená práve na to. 
Súprava sa skladá z praktického hrnca a silikónového štetca na jednoduché miešanie a nanášanie marinád a nálevu.
Hrniec je vyrobený z nehrdzavejúcej ocele, čo zaručuje dlhodobú odolnosť a jednoduché čistenie, zatiaľ čo silikónová kefa vám dokonale padne do ruky a umožní vám presné a rovnomerné nanášanie marinády. Silikónový materiál zaručuje, že sa štetec počas používania nepoškodí a ľahko sa čistí.
Vyberte si kuchynský riad Barbecook BC-ACC-7211 z nehrdzavejúcej ocele so silikónovou kefou a posuňte svoj zážitok z grilovania na vyššiu úroveň.</t>
        </is>
      </c>
    </row>
    <row r="84">
      <c r="A84" s="3" t="inlineStr">
        <is>
          <t>GRT06</t>
        </is>
      </c>
      <c r="B84" s="2" t="inlineStr">
        <is>
          <t>Lis na hamburgery, hliník</t>
        </is>
      </c>
      <c r="C84" s="1" t="n">
        <v>10.59</v>
      </c>
      <c r="D84" s="7" t="n">
        <f>HYPERLINK("https://www.somogyi.sk/product/lis-na-hamburgery-hlinik-grt06-19082","https://www.somogyi.sk/product/lis-na-hamburgery-hlinik-grt06-19082")</f>
        <v>0.0</v>
      </c>
      <c r="E84" s="7" t="n">
        <f>HYPERLINK("https://www.somogyi.sk/data/img/product_main_images/small/19082.jpg","https://www.somogyi.sk/data/img/product_main_images/small/19082.jpg")</f>
        <v>0.0</v>
      </c>
      <c r="F84" s="2" t="inlineStr">
        <is>
          <t>5999084970758</t>
        </is>
      </c>
      <c r="G84" s="4" t="inlineStr">
        <is>
          <t xml:space="preserve"> • materiál: rebrovaný hliníkový lis, plastová rukoväť 
 • drážkovaný povrch 
 • rozmery: ø115 x 75 mm 
 • hmotnosť: 495 g</t>
        </is>
      </c>
    </row>
    <row r="85">
      <c r="A85" s="3" t="inlineStr">
        <is>
          <t>BC-ACC-7080</t>
        </is>
      </c>
      <c r="B85" s="2" t="inlineStr">
        <is>
          <t>Grilovací podnos BC-ACC-7080, smaltovaný, 34,5x24cm</t>
        </is>
      </c>
      <c r="C85" s="1" t="n">
        <v>16.89</v>
      </c>
      <c r="D85" s="7" t="n">
        <f>HYPERLINK("https://www.somogyi.sk/product/grilovaci-podnos-bc-acc-7080-smaltovany-34-5x24cm-bc-acc-7080-18823","https://www.somogyi.sk/product/grilovaci-podnos-bc-acc-7080-smaltovany-34-5x24cm-bc-acc-7080-18823")</f>
        <v>0.0</v>
      </c>
      <c r="E85" s="7" t="n">
        <f>HYPERLINK("https://www.somogyi.sk/data/img/product_main_images/small/18823.jpg","https://www.somogyi.sk/data/img/product_main_images/small/18823.jpg")</f>
        <v>0.0</v>
      </c>
      <c r="F85" s="2" t="inlineStr">
        <is>
          <t>5400269220921</t>
        </is>
      </c>
      <c r="G85" s="4" t="inlineStr">
        <is>
          <t>Chcete, aby vaše grilovanie bolo čisté a jednoduché? Smaltovaný grilovací podnos Barbecook BC-ACC-7080 je ideálnym riešením pre každého nadšenca grilovania, ktorý si cení pohodlie a čistotu.
Tento praktický grilovací podnos s rozmermi 34,5 × 24 cm je vyrobený z kvalitného smaltovaného materiálu, ktorý odoláva vysokým teplotám a zabraňuje tomu, aby sa zvyšky jedla dostali priamo na gril. Možno ju používať s grilmi na drevené uhlie aj s plynovými grilmi, takže je ideálnou voľbou pre všetky typy grilovania.
Podnos je možné umývať v umývačke riadu, takže čistenie po grilovaní už nie je problém. Smaltovaný povrch zaručuje dlhú životnosť a jednoduché čistenie, vďaka čomu zostane viac času na vychutnávanie chutného jedla a voľný čas.
Vyberte si smaltovaný grilovací podnos Barbecook BC-ACC-7080 a užívajte si bezproblémové a čisté grilovanie zakaždým!</t>
        </is>
      </c>
    </row>
    <row r="86">
      <c r="A86" s="3" t="inlineStr">
        <is>
          <t>BC-ACC-7219</t>
        </is>
      </c>
      <c r="B86" s="2" t="inlineStr">
        <is>
          <t>Barbecook BC-ACC-7219 Lis na hamburgery, priemer 11,5 cm</t>
        </is>
      </c>
      <c r="C86" s="1" t="n">
        <v>21.49</v>
      </c>
      <c r="D86" s="7" t="n">
        <f>HYPERLINK("https://www.somogyi.sk/product/barbecook-bc-acc-7219-lis-na-hamburgery-priemer-11-5-cm-bc-acc-7219-18826","https://www.somogyi.sk/product/barbecook-bc-acc-7219-lis-na-hamburgery-priemer-11-5-cm-bc-acc-7219-18826")</f>
        <v>0.0</v>
      </c>
      <c r="E86" s="7" t="n">
        <f>HYPERLINK("https://www.somogyi.sk/data/img/product_main_images/small/18826.jpg","https://www.somogyi.sk/data/img/product_main_images/small/18826.jpg")</f>
        <v>0.0</v>
      </c>
      <c r="F86" s="2" t="inlineStr">
        <is>
          <t>5420059844861</t>
        </is>
      </c>
      <c r="G86" s="4" t="inlineStr">
        <is>
          <t>Chcete si doma pripraviť dokonalé hamburgerové placky? S formovačom na mäsové guľky Barbecook BC-ACC-7219 si teraz môžete ľahko a rýchlo pripraviť hamburgery profesionálnej kvality vo vlastnej kuchyni. 
Tento praktický nástroj zaručuje, že všetky mäsové placky budú mať rovnakú veľkosť a tvar, takže výsledok bude vždy dokonalý. Lis s priemerom 11,5 cm má ideálnu veľkosť pre mäsové placky a dokonale sa hodí na väčšinu hamburgerových žemlí. Vďaka jednoduchému používaniu a čistému dizajnu formovača nemusíte tráviť hodiny v kuchyni prípravou a následným spracovaním.
Či už ide o rodinné stretnutie, grilovačku s priateľmi alebo len rýchlu večeru počas týždňa, tento nástroj pomôže zabezpečiť, aby príprava hamburgerov bola vždy hladká a príjemná.
Vyrobte si tie najlepšie hamburgery vlastnými rukami s formičkou na mäsové guľky Barbecook BC-ACC-7219!</t>
        </is>
      </c>
    </row>
    <row r="87">
      <c r="A87" s="3" t="inlineStr">
        <is>
          <t>BC-ACC-7052</t>
        </is>
      </c>
      <c r="B87" s="2" t="inlineStr">
        <is>
          <t>Barbecook BC-ACC-7052 prémiové grilovacie rukavice, 33 cm, čierne</t>
        </is>
      </c>
      <c r="C87" s="1" t="n">
        <v>44.49</v>
      </c>
      <c r="D87" s="7" t="n">
        <f>HYPERLINK("https://www.somogyi.sk/product/barbecook-bc-acc-7052-premiove-grilovacie-rukavice-33-cm-cierne-bc-acc-7052-18740","https://www.somogyi.sk/product/barbecook-bc-acc-7052-premiove-grilovacie-rukavice-33-cm-cierne-bc-acc-7052-18740")</f>
        <v>0.0</v>
      </c>
      <c r="E87" s="7" t="n">
        <f>HYPERLINK("https://www.somogyi.sk/data/img/product_main_images/small/18740.jpg","https://www.somogyi.sk/data/img/product_main_images/small/18740.jpg")</f>
        <v>0.0</v>
      </c>
      <c r="F87" s="2" t="inlineStr">
        <is>
          <t>5400269210595</t>
        </is>
      </c>
      <c r="G87" s="4" t="inlineStr">
        <is>
          <t>Chcete grilovať bezpečne bez obáv z popálenín? Prémiové rukavice Barbecook BC-ACC-7052 budú vaším dokonalým spoločníkom pri grilovaní, pretože chránia vaše ruky pred vysokými teplotami a zároveň poskytujú vynikajúcu priľnavosť.
Táto špeciálna rukavica je vybavená ohňovzdornými silikónovými pásikmi, ktoré zvyšujú bezpečnosť a stabilitu úchopu, či už držíte horúce panvice, grilovacie rošty alebo pekáče. Vďaka vynikajúcej tepelnej odolnosti do 350 °C je táto rukavica ideálnou voľbou na grilovanie vrátane práce na horúcom uhlí alebo grilovacích roštoch.
Rozmery rukavice - 15x1x33cm- zaručujú dokonalé prispôsobenie, poskytujúce maximálne pohodlie a ochranu počas používania.
Zverte ochranu svojich rúk prémiovým rukaviciam Barbecook BC-ACC-7052 a plne sa sústreďte na pôžitok z grilovania.</t>
        </is>
      </c>
    </row>
    <row r="88">
      <c r="A88" s="3" t="inlineStr">
        <is>
          <t>BC-ACC-7028</t>
        </is>
      </c>
      <c r="B88" s="2" t="inlineStr">
        <is>
          <t>Barbecook BC-ACC-7028 army kliešte, 38 cm, zelená rukoväť</t>
        </is>
      </c>
      <c r="C88" s="1" t="n">
        <v>18.89</v>
      </c>
      <c r="D88" s="7" t="n">
        <f>HYPERLINK("https://www.somogyi.sk/product/barbecook-bc-acc-7028-army-klieste-38-cm-zelena-rukovat-bc-acc-7028-18762","https://www.somogyi.sk/product/barbecook-bc-acc-7028-army-klieste-38-cm-zelena-rukovat-bc-acc-7028-18762")</f>
        <v>0.0</v>
      </c>
      <c r="E88" s="7" t="n">
        <f>HYPERLINK("https://www.somogyi.sk/data/img/product_main_images/small/18762.jpg","https://www.somogyi.sk/data/img/product_main_images/small/18762.jpg")</f>
        <v>0.0</v>
      </c>
      <c r="F88" s="2" t="inlineStr">
        <is>
          <t>5400269202941</t>
        </is>
      </c>
      <c r="G88" s="4" t="inlineStr">
        <is>
          <t>Chcete si byť istí vo všetkých aspektoch grilovania aj v tých najhorúcejších chvíľach? Grilovacie kliešte Barbecook BC-ACC-7028 v armádnom štýle budú vaším najlepším spoločníkom pri grile, nielen praktickým, ale aj štýlovým. 
Sú vhodné na ľahké otáčanie mäsa, rýb a zeleniny a zaručujú, že každá časť vášho pokrmu bude dokonale pripravená. Rukoväť v zelenej farbe khaki dodáva grilovacím kliešťam nielen jedinečný vzhľad, ale zaručuje aj pevné uchopenie, ktoré je pri práci na rozpálenom grilovacom rošte nevyhnutné. Ľahko čistiteľný dizajn zaručuje, že grilovacie násady zostanú dlho hygienické a dobre udržiavané.
Rozmery výrobku - 5 × 4 × 38 cm - sú ideálne na bezpečné a účinné uchopenie a otáčanie akéhokoľvek jedla.
Prevezmite kontrolu a prevráťte svet chutí s grilovacími kliešťami Barbecook BC-ACC-7028 v armádnom štýle.</t>
        </is>
      </c>
    </row>
    <row r="89">
      <c r="A89" s="6" t="inlineStr">
        <is>
          <t xml:space="preserve">      Grilovanie / Grilovacie príslušenstvo / Dosky na krájanie a stoly</t>
        </is>
      </c>
      <c r="B89" s="6" t="inlineStr">
        <is>
          <t/>
        </is>
      </c>
      <c r="C89" s="6" t="inlineStr">
        <is>
          <t/>
        </is>
      </c>
      <c r="D89" s="6" t="inlineStr">
        <is>
          <t/>
        </is>
      </c>
      <c r="E89" s="6" t="inlineStr">
        <is>
          <t/>
        </is>
      </c>
      <c r="F89" s="6" t="inlineStr">
        <is>
          <t/>
        </is>
      </c>
      <c r="G89" s="6" t="inlineStr">
        <is>
          <t/>
        </is>
      </c>
    </row>
    <row r="90">
      <c r="A90" s="3" t="inlineStr">
        <is>
          <t>BC-ACC-7154</t>
        </is>
      </c>
      <c r="B90" s="2" t="inlineStr">
        <is>
          <t>Barbecook BC-ACC-7154 grilovací stôl na krájanie, z bambusu, 70x43x81cm</t>
        </is>
      </c>
      <c r="C90" s="1" t="n">
        <v>99.19</v>
      </c>
      <c r="D90" s="7" t="n">
        <f>HYPERLINK("https://www.somogyi.sk/product/barbecook-bc-acc-7154-grilovaci-stol-na-krajanie-z-bambusu-70x43x81cm-bc-acc-7154-18768","https://www.somogyi.sk/product/barbecook-bc-acc-7154-grilovaci-stol-na-krajanie-z-bambusu-70x43x81cm-bc-acc-7154-18768")</f>
        <v>0.0</v>
      </c>
      <c r="E90" s="7" t="n">
        <f>HYPERLINK("https://www.somogyi.sk/data/img/product_main_images/small/18768.jpg","https://www.somogyi.sk/data/img/product_main_images/small/18768.jpg")</f>
        <v>0.0</v>
      </c>
      <c r="F90" s="2" t="inlineStr">
        <is>
          <t>5400269207267</t>
        </is>
      </c>
      <c r="G90" s="4" t="inlineStr">
        <is>
          <t>Chcete mať pohodlný pracovný priestor vedľa grilu? Grilovací stôl Barbecook BC-ACC-7154 je ideálnou voľbou na prípravu a prácu pri grile. 
Tento praktický skladací stolík vyrobený z bambusu je ideálnym spoločníkom pri varení, na ktorom môžete ľahko pripravovať prísady alebo umiestniť príslušenstvo na grilovanie.
Stolík sa ľahko skladuje, pretože v zloženom stave zaberá veľmi málo miesta, takže sa oň nemusíte starať, keď ho práve nepoužívate. Čistenie je tiež hračka, takže môžete mať vždy hygienickú a čistú pracovnú plochu. Jeho rozmery (70 × 43 × 81 cm) ponúkajú dostatok priestoru na všetky potrebné pracovné postupy, či už ide o mäso, zeleninu alebo aj náradie potrebné na varenie.
Užite si každý okamih grilovania s grilovacím krájacím stolom Barbecook BC-ACC-7154, ktorý vám zaručene uľahčí každý aspekt grilovania!</t>
        </is>
      </c>
    </row>
    <row r="91">
      <c r="A91" s="6" t="inlineStr">
        <is>
          <t xml:space="preserve">      Grilovanie / Grilovacie príslušenstvo / Ražne a špízy</t>
        </is>
      </c>
      <c r="B91" s="6" t="inlineStr">
        <is>
          <t/>
        </is>
      </c>
      <c r="C91" s="6" t="inlineStr">
        <is>
          <t/>
        </is>
      </c>
      <c r="D91" s="6" t="inlineStr">
        <is>
          <t/>
        </is>
      </c>
      <c r="E91" s="6" t="inlineStr">
        <is>
          <t/>
        </is>
      </c>
      <c r="F91" s="6" t="inlineStr">
        <is>
          <t/>
        </is>
      </c>
      <c r="G91" s="6" t="inlineStr">
        <is>
          <t/>
        </is>
      </c>
    </row>
    <row r="92">
      <c r="A92" s="3" t="inlineStr">
        <is>
          <t>BC-ACC-7068</t>
        </is>
      </c>
      <c r="B92" s="2" t="inlineStr">
        <is>
          <t>Sada špíz BC-ACC-7068 4 ks, drevená rukoväť, 43 cm</t>
        </is>
      </c>
      <c r="C92" s="1" t="n">
        <v>7.69</v>
      </c>
      <c r="D92" s="7" t="n">
        <f>HYPERLINK("https://www.somogyi.sk/product/sada-spiz-bc-acc-7068-4-ks-drevena-rukovat-43-cm-bc-acc-7068-18721","https://www.somogyi.sk/product/sada-spiz-bc-acc-7068-4-ks-drevena-rukovat-43-cm-bc-acc-7068-18721")</f>
        <v>0.0</v>
      </c>
      <c r="E92" s="7" t="n">
        <f>HYPERLINK("https://www.somogyi.sk/data/img/product_main_images/small/18721.jpg","https://www.somogyi.sk/data/img/product_main_images/small/18721.jpg")</f>
        <v>0.0</v>
      </c>
      <c r="F92" s="2" t="inlineStr">
        <is>
          <t>5400269240707</t>
        </is>
      </c>
      <c r="G92" s="4" t="inlineStr">
        <is>
          <t>Hľadáte odolné a ekologické riešenie pre dokonalé grilovacie špízy? Súprava špízov Barbecook BC-ACC-7068 4 ks uspokojí všetky vaše potreby pri grilovaní, vďaka opakovane použiteľným špízom pripravíte tie najchutnejšie grilované pokrmy.
Táto prémiová súprava špízov je nielen opakovane použiteľná, čím sa znižuje jej vplyv na životné prostredie, ale má aj označenie FSC®, ktoré zaručuje, že špízy z brezového dreva pochádzajú z udržateľných zdrojov. Pochrómovaná rukoväť ďalej zvyšuje odolnosť nástrojov a uľahčuje ich čistenie, vďaka čomu je táto súprava dlhodobo najlepšou voľbou pre vás aj životné prostredie.
Rozmery brezovej súpravy - 1,5x1,5x43 cm - sú ideálne na grilovanie rôznych druhov mäsa, zeleniny alebo dokonca ovocia, čo vám umožní pripraviť rozmanité a chutné pokrmy.
Zabudnite na jednorazové grilovacie náčinie so 4-dielnou letnou súpravou Barbecook BC-ACC-7068 a pripravujte grilované jedlá udržateľným spôsobom.</t>
        </is>
      </c>
    </row>
    <row r="93">
      <c r="A93" s="3" t="inlineStr">
        <is>
          <t>BC-ACC-7076</t>
        </is>
      </c>
      <c r="B93" s="2" t="inlineStr">
        <is>
          <t>Barbecook BC-ACC-7076 100 ks bambusových špízov, 30 cm</t>
        </is>
      </c>
      <c r="C93" s="1" t="n">
        <v>4.59</v>
      </c>
      <c r="D93" s="7" t="n">
        <f>HYPERLINK("https://www.somogyi.sk/product/barbecook-bc-acc-7076-100-ks-bambusovych-spizov-30-cm-bc-acc-7076-18766","https://www.somogyi.sk/product/barbecook-bc-acc-7076-100-ks-bambusovych-spizov-30-cm-bc-acc-7076-18766")</f>
        <v>0.0</v>
      </c>
      <c r="E93" s="7" t="n">
        <f>HYPERLINK("https://www.somogyi.sk/data/img/product_main_images/small/18766.jpg","https://www.somogyi.sk/data/img/product_main_images/small/18766.jpg")</f>
        <v>0.0</v>
      </c>
      <c r="F93" s="2" t="inlineStr">
        <is>
          <t>5400269217839</t>
        </is>
      </c>
      <c r="G93" s="4" t="inlineStr">
        <is>
          <t>Hľadáte jednoduché, ale dômyselné riešenie pre svoje ďalšie grilovanie? So súpravou Barbecook BC-ACC-7076 100 ks Bamboo Summer Set budete mať dokonalé nástroje na prípravu chutného jedla bez akejkoľvek prípravy!
Táto súprava obsahuje 100 ks 30 cm dlhých bambusových špízov, ktoré sú ideálne na grilovanie mäsa, zeleniny, ovocia alebo dokonca sladkostí. Prírodný materiál bambusu je nielen šetrný k životnému prostrediu, ale zaručuje aj stabilitu a odolnosť špízov, takže si môžete byť istí, že vaše jedlo zostane počas prípravy v bezpečí.
Výhodou špízov je, že sa ľahko používajú a sú jednorazové, takže sa nemusíte starať o upratovanie po grilovaní. Dĺžka 30 cm tiež poskytuje dokonalú rovnováhu medzi jednoduchou manipuláciou a dostatočným priestorom pre vaše jedlo, takže každý môže meniť chute podľa svojich predstáv.
Vykúzlite lahodné pokrmy na grilovanie so súpravou Barbecook BC-ACC-7076 100 ks bambusových špízov a uľahčite a spríjemnite grilovanie všetkým!</t>
        </is>
      </c>
    </row>
    <row r="94">
      <c r="A94" s="3" t="inlineStr">
        <is>
          <t>GRT08</t>
        </is>
      </c>
      <c r="B94" s="2" t="inlineStr">
        <is>
          <t>Grilovacia súprava 2-dielnych špízov, špíz 250 mm, celkový rozmer: 325x30 mm</t>
        </is>
      </c>
      <c r="C94" s="1" t="n">
        <v>4.29</v>
      </c>
      <c r="D94" s="7" t="n">
        <f>HYPERLINK("https://www.somogyi.sk/product/grilovacia-suprava-2-dielnych-spizov-spiz-250-mm-celkovy-rozmer-325x30-mm-grt08-19076","https://www.somogyi.sk/product/grilovacia-suprava-2-dielnych-spizov-spiz-250-mm-celkovy-rozmer-325x30-mm-grt08-19076")</f>
        <v>0.0</v>
      </c>
      <c r="E94" s="7" t="n">
        <f>HYPERLINK("https://www.somogyi.sk/data/img/product_main_images/small/19076.jpg","https://www.somogyi.sk/data/img/product_main_images/small/19076.jpg")</f>
        <v>0.0</v>
      </c>
      <c r="F94" s="2" t="inlineStr">
        <is>
          <t>5999084970697</t>
        </is>
      </c>
      <c r="G94" s="4" t="inlineStr">
        <is>
          <t xml:space="preserve"> • dĺžka ihly: 250 mm 
 • celkové rozmery: 325 x 30 mm 
 • materiál: nehrdzavejúca oceľ 
 • hmotnosť: 140 g / 2 ks</t>
        </is>
      </c>
    </row>
    <row r="95">
      <c r="A95" s="3" t="inlineStr">
        <is>
          <t>BC-ACC-7073</t>
        </is>
      </c>
      <c r="B95" s="2" t="inlineStr">
        <is>
          <t>Barbecook BC-ACC-7073 Sada 10 ks špízov z nehrdzavejúcej ocele, 33 cm</t>
        </is>
      </c>
      <c r="C95" s="1" t="n">
        <v>12.89</v>
      </c>
      <c r="D95" s="7" t="n">
        <f>HYPERLINK("https://www.somogyi.sk/product/barbecook-bc-acc-7073-sada-10-ks-spizov-z-nehrdzavejucej-ocele-33-cm-bc-acc-7073-18737","https://www.somogyi.sk/product/barbecook-bc-acc-7073-sada-10-ks-spizov-z-nehrdzavejucej-ocele-33-cm-bc-acc-7073-18737")</f>
        <v>0.0</v>
      </c>
      <c r="E95" s="7" t="n">
        <f>HYPERLINK("https://www.somogyi.sk/data/img/product_main_images/small/18737.jpg","https://www.somogyi.sk/data/img/product_main_images/small/18737.jpg")</f>
        <v>0.0</v>
      </c>
      <c r="F95" s="2" t="inlineStr">
        <is>
          <t>5400269201166</t>
        </is>
      </c>
      <c r="G95" s="4" t="inlineStr">
        <is>
          <t>Hľadáte dokonalý nástroj na grilovanie, kde sú hlavnou hviezdou pochúťky pečené na ražni? So sadou Barbecook BC-ACC-7073 10 ks špízov z nehrdzavejúcej ocele môžete teraz pripravovať svoje obľúbené grilované pokrmy jednoduchšie a bezpečnejšie ako kedykoľvek predtým.
Táto vysokokvalitná súprava špízov na opakované použitie obsahuje 10 špízov z nehrdzavejúcej ocele s dĺžkou 33 cm, ktoré sú ideálne na grilovanie mäsa, zeleniny alebo dokonca ovocia. Vďaka zaobleným koncom zostanú ingrediencie počas prípravy bezpečne na svojom mieste.
Nerezová oceľ zaručuje nielen odolnosť a dlhú životnosť, ale špízy sa aj ľahko čistia, takže súpravu môžete používať opakovane pri ďalšom grilovaní. Dĺžka 33 cm poskytuje dokonalú rovnováhu medzi ovládateľnosťou a dostatočným priestorom pre vaše jedlo.
Vychutnajte si všetky pôžitky z grilovania so súpravou špízov Barbecook BC-ACC-7073 10 ks z nehrdzavejúcej ocele, ktorá je praktickým, odolným a štýlovým riešením na všetky príležitosti grilovania.</t>
        </is>
      </c>
    </row>
    <row r="96">
      <c r="A96" s="3" t="inlineStr">
        <is>
          <t>BC-ACC-7471</t>
        </is>
      </c>
      <c r="B96" s="2" t="inlineStr">
        <is>
          <t>Barbecook BC-ACC-7471 3 grilovacie ražne na churrasco FSC, 65 cm, veľkosť XL</t>
        </is>
      </c>
      <c r="C96" s="1" t="n">
        <v>16.09</v>
      </c>
      <c r="D96" s="7" t="n">
        <f>HYPERLINK("https://www.somogyi.sk/product/barbecook-bc-acc-7471-3-grilovacie-razne-na-churrasco-fsc-65-cm-velkost-xl-bc-acc-7471-18722","https://www.somogyi.sk/product/barbecook-bc-acc-7471-3-grilovacie-razne-na-churrasco-fsc-65-cm-velkost-xl-bc-acc-7471-18722")</f>
        <v>0.0</v>
      </c>
      <c r="E96" s="7" t="n">
        <f>HYPERLINK("https://www.somogyi.sk/data/img/product_main_images/small/18722.jpg","https://www.somogyi.sk/data/img/product_main_images/small/18722.jpg")</f>
        <v>0.0</v>
      </c>
      <c r="F96" s="2" t="inlineStr">
        <is>
          <t>5404035706756</t>
        </is>
      </c>
      <c r="G96" s="4" t="inlineStr">
        <is>
          <t>Ste pripravení na nový zážitok z grilovania, ktorý ďaleko presahuje tradičné grilovanie? Objavte trojdielnu súpravu ražňov Barbecook BC-ACC-7471, ktorá dodáva grilovaniu nový rozmer! 
Tri opakovane použiteľné ražne v súprave sú dlhé 65 cm, čo poskytuje dostatok priestoru na mäso, zeleninu alebo dokonca ovocie, takže môžete pohodlne pripraviť niekoľko jedál naraz. Certifikát FSC® zaručuje, že špízy sú vyrobené s ohľadom na udržateľné lesné hospodárstvo, takže sú nielen ekologickou voľbou, ale aj voľbou pre gurmánov.
Urobte si z najbližšieho grilovania nezabudnuteľný zážitok s ražňami Barbecook BC-ACC-7471! Či už ide o rodinnú oslavu alebo grilovačku s priateľmi, tieto ražne zabezpečia, že vaše jedlo bude nielen chutné, ale aj veľkolepé. Už nečakajte a rozšírte svoj sortiment grilovacích nástrojov o túto praktickú a štýlovú súpravu!</t>
        </is>
      </c>
    </row>
    <row r="97">
      <c r="A97" s="3" t="inlineStr">
        <is>
          <t>BC-ACC-7017</t>
        </is>
      </c>
      <c r="B97" s="2" t="inlineStr">
        <is>
          <t>Barbecook BC-ACC-7017 Nerezový držiak na špízy, 5 miest</t>
        </is>
      </c>
      <c r="C97" s="1" t="n">
        <v>29.39</v>
      </c>
      <c r="D97" s="7" t="n">
        <f>HYPERLINK("https://www.somogyi.sk/product/barbecook-bc-acc-7017-nerezovy-drziak-na-spizy-5-miest-bc-acc-7017-18724","https://www.somogyi.sk/product/barbecook-bc-acc-7017-nerezovy-drziak-na-spizy-5-miest-bc-acc-7017-18724")</f>
        <v>0.0</v>
      </c>
      <c r="E97" s="7" t="n">
        <f>HYPERLINK("https://www.somogyi.sk/data/img/product_main_images/small/18724.jpg","https://www.somogyi.sk/data/img/product_main_images/small/18724.jpg")</f>
        <v>0.0</v>
      </c>
      <c r="F97" s="2" t="inlineStr">
        <is>
          <t>5400269238728</t>
        </is>
      </c>
      <c r="G97" s="4" t="inlineStr">
        <is>
          <t>Máte radi jedlo grilované na ražni? Vyrobte si rôzne chuťové bomby doma, vlastnými rukami, jednoducho a efektívne! 
Ako ich však vyrobiť čo najjednoduchšie? Samozrejme, pomocou grilovacieho špízu! Pomocou držiaka na špíz Barbecook BC-ACC-7017 môžete pripevniť niekoľko špízov naraz (5 špízov je súčasťou balenia), takže ich môžete počas grilovania ľahko kontrolovať. S týmto nástrojom môžete pripraviť tie najchutnejšie špízy vôbec!
Veľkosť držiaka na špízy - 26,5 × 4,5 × 35,5 cm - je ideálna veľkosť na držanie špízov rôznych dĺžok a hrúbok. Používanie tohto nástroja vám nielen ušetrí čas, ale zabezpečí, že každý špíz bude pripravený rovnomerne, čo zaručí vždy chutný a šťavnatý výsledok. Možno ho používať na griloch na drevené uhlie aj na plynových griloch. 
Začnite grilovaciu sezónu s Barbecook BC-ACC-7017 a pripravte neodolateľné špízy, ktoré ohromia všetkých vašich hostí! Kúpte si toto praktické príslušenstvo na grilovanie a staňte sa majstrom kuchárom na svojich grilovacích párty!</t>
        </is>
      </c>
    </row>
    <row r="98">
      <c r="A98" s="6" t="inlineStr">
        <is>
          <t xml:space="preserve">      Grilovanie / Grilovacie príslušenstvo / Pizza</t>
        </is>
      </c>
      <c r="B98" s="6" t="inlineStr">
        <is>
          <t/>
        </is>
      </c>
      <c r="C98" s="6" t="inlineStr">
        <is>
          <t/>
        </is>
      </c>
      <c r="D98" s="6" t="inlineStr">
        <is>
          <t/>
        </is>
      </c>
      <c r="E98" s="6" t="inlineStr">
        <is>
          <t/>
        </is>
      </c>
      <c r="F98" s="6" t="inlineStr">
        <is>
          <t/>
        </is>
      </c>
      <c r="G98" s="6" t="inlineStr">
        <is>
          <t/>
        </is>
      </c>
    </row>
    <row r="99">
      <c r="A99" s="3" t="inlineStr">
        <is>
          <t>BC-ACC-7034</t>
        </is>
      </c>
      <c r="B99" s="2" t="inlineStr">
        <is>
          <t>Barbecook BC-ACC-7034 Olivia nerezová špachtľa na pizzu, 43 cm, čierna rukoväť</t>
        </is>
      </c>
      <c r="C99" s="1" t="n">
        <v>22.69</v>
      </c>
      <c r="D99" s="7" t="n">
        <f>HYPERLINK("https://www.somogyi.sk/product/barbecook-bc-acc-7034-olivia-nerezova-spachtla-na-pizzu-43-cm-cierna-rukovat-bc-acc-7034-18765","https://www.somogyi.sk/product/barbecook-bc-acc-7034-olivia-nerezova-spachtla-na-pizzu-43-cm-cierna-rukovat-bc-acc-7034-18765")</f>
        <v>0.0</v>
      </c>
      <c r="E99" s="7" t="n">
        <f>HYPERLINK("https://www.somogyi.sk/data/img/product_main_images/small/18765.jpg","https://www.somogyi.sk/data/img/product_main_images/small/18765.jpg")</f>
        <v>0.0</v>
      </c>
      <c r="F99" s="2" t="inlineStr">
        <is>
          <t>5400269210625</t>
        </is>
      </c>
      <c r="G99" s="4" t="inlineStr">
        <is>
          <t>Chcete si doma osvojiť umenie výroby pizze? Nerezová škrabka na pizzu Barbecook BC-ACC-7034 Olivia je dokonalým nástrojom pre všetkých milovníkov pizze, ktorí si chcú vychutnať chuť pravej pizze s chrumkavým základom na grile.
Táto špachtľa na pizzu je vyrobená z prvotriednej nehrdzavejúcej ocele a nielenže uľahčuje umiestnenie pizze na gril a jej odstránenie, ale zabezpečuje aj bezpečnosť procesu prípravy. Rozmery výrobku - 18 × 18 × 43 cm - sú ideálne na manipuláciu s pizzami rôznych veľkostí, takže každé domáce pečenie pizze možno ľahko povýšiť na profesionálnu úroveň.
Podstavec na pizzu Olivia, vybavený háčikom na pohodlné skladovanie, bude nielen užitočným, ale aj štýlovým doplnkom vášho grilovacieho náradia. Či už ide o stretnutie s priateľmi na záhrade alebo pokojnú rodinnú večeru, táto špachtľa zabezpečí, že pizza bude na stole v perfektnom stave.
Uľahčite si prípravu pizze a spríjemnite si ju s nerezovou lopatkou na pizzu Barbecook BC-ACC-7034 Olivia.</t>
        </is>
      </c>
    </row>
    <row r="100">
      <c r="A100" s="3" t="inlineStr">
        <is>
          <t>BC-ACC-7225</t>
        </is>
      </c>
      <c r="B100" s="2" t="inlineStr">
        <is>
          <t>Barbecook BC-ACC-7225 špachtľa na pizzu, FSC, 63x32cm</t>
        </is>
      </c>
      <c r="C100" s="1" t="n">
        <v>37.59</v>
      </c>
      <c r="D100" s="7" t="n">
        <f>HYPERLINK("https://www.somogyi.sk/product/barbecook-bc-acc-7225-spachtla-na-pizzu-fsc-63x32cm-bc-acc-7225-18730","https://www.somogyi.sk/product/barbecook-bc-acc-7225-spachtla-na-pizzu-fsc-63x32cm-bc-acc-7225-18730")</f>
        <v>0.0</v>
      </c>
      <c r="E100" s="7" t="n">
        <f>HYPERLINK("https://www.somogyi.sk/data/img/product_main_images/small/18730.jpg","https://www.somogyi.sk/data/img/product_main_images/small/18730.jpg")</f>
        <v>0.0</v>
      </c>
      <c r="F100" s="2" t="inlineStr">
        <is>
          <t>5420059805589</t>
        </is>
      </c>
      <c r="G100" s="4" t="inlineStr">
        <is>
          <t>Chcete pizzu dokonale a ľahko pripraviť na grile aj z neho? Špachtľa na pizzu Barbecook BC-ACC-7225 vám tento proces uľahčí a umožní vám pripraviť obľúbené jedlá vašej rodiny alebo priateľov ako skutočnému majstrovi na pizzu.
Špeciálnou vlastnosťou špachtle na pizzu Barbecook BC-ACC-7225 je jej veľkosť. 63 × 32 cm je vhodná na prípravu takmer akejkoľvek pizze. Či už ide o domácu pizzu alebo hlboko zmrazenú pizzu, táto špachtľa na pizzu zaručí, že sa pizza dostane na gril neporušená a odíde rovnaká. Rukoväť z dreva s certifikátom FSC® je nielen ekologickou voľbou, ale zaručuje aj dlhodobú odolnosť a stabilitu.
Špachtľa na pizzu Barbecook BC-ACC-7225 je dokonalým nástrojom na každú grilovaciu párty alebo rodinnú oslavu, kde je v centre pozornosti pizza. Vďaka jednoduchému používaniu je príprava pizze jednoduchá pre každého.
Nedovoľte, aby manipulácia s pizzou narušila váš zážitok z grilovania. Vyberte si špachtľu na pizzu Barbecook BC-ACC-7225 a užite si bezproblémovú, profesionálnu prípravu pizze v pohodlí domova!</t>
        </is>
      </c>
    </row>
    <row r="101">
      <c r="A101" s="3" t="inlineStr">
        <is>
          <t>BC-ACC-7451</t>
        </is>
      </c>
      <c r="B101" s="2" t="inlineStr">
        <is>
          <t>Barbecook BC-ACC-7451 na pizzu</t>
        </is>
      </c>
      <c r="C101" s="1" t="n">
        <v>152.9</v>
      </c>
      <c r="D101" s="7" t="n">
        <f>HYPERLINK("https://www.somogyi.sk/product/barbecook-bc-acc-7451-na-pizzu-bc-acc-7451-18909","https://www.somogyi.sk/product/barbecook-bc-acc-7451-na-pizzu-bc-acc-7451-18909")</f>
        <v>0.0</v>
      </c>
      <c r="E101" s="7" t="n">
        <f>HYPERLINK("https://www.somogyi.sk/data/img/product_main_images/small/18909.jpg","https://www.somogyi.sk/data/img/product_main_images/small/18909.jpg")</f>
        <v>0.0</v>
      </c>
      <c r="F101" s="2" t="inlineStr">
        <is>
          <t>5404035701461</t>
        </is>
      </c>
      <c r="G101" s="4"/>
    </row>
    <row r="102">
      <c r="A102" s="3" t="inlineStr">
        <is>
          <t>GRT03</t>
        </is>
      </c>
      <c r="B102" s="2" t="inlineStr">
        <is>
          <t>Lopatka na pizzu, skladacia, nerezová, 240x570 mm</t>
        </is>
      </c>
      <c r="C102" s="1" t="n">
        <v>16.49</v>
      </c>
      <c r="D102" s="7" t="n">
        <f>HYPERLINK("https://www.somogyi.sk/product/lopatka-na-pizzu-skladacia-nerezova-240x570-mm-grt03-19073","https://www.somogyi.sk/product/lopatka-na-pizzu-skladacia-nerezova-240x570-mm-grt03-19073")</f>
        <v>0.0</v>
      </c>
      <c r="E102" s="7" t="n">
        <f>HYPERLINK("https://www.somogyi.sk/data/img/product_main_images/small/19073.jpg","https://www.somogyi.sk/data/img/product_main_images/small/19073.jpg")</f>
        <v>0.0</v>
      </c>
      <c r="F102" s="2" t="inlineStr">
        <is>
          <t>5999084970666</t>
        </is>
      </c>
      <c r="G102" s="4" t="inlineStr">
        <is>
          <t xml:space="preserve"> • rozmery: 240 x 570 mm</t>
        </is>
      </c>
    </row>
    <row r="103">
      <c r="A103" s="3" t="inlineStr">
        <is>
          <t>BC-ACC-7013</t>
        </is>
      </c>
      <c r="B103" s="2" t="inlineStr">
        <is>
          <t>Univerzálny kameň na pizzu Barbecook BC-ACC-7013, ohňovzdorný, priemer 36 cm</t>
        </is>
      </c>
      <c r="C103" s="1" t="n">
        <v>45.89</v>
      </c>
      <c r="D103" s="7" t="n">
        <f>HYPERLINK("https://www.somogyi.sk/product/univerzalny-kamen-na-pizzu-barbecook-bc-acc-7013-ohnovzdorny-priemer-36-cm-bc-acc-7013-18783","https://www.somogyi.sk/product/univerzalny-kamen-na-pizzu-barbecook-bc-acc-7013-ohnovzdorny-priemer-36-cm-bc-acc-7013-18783")</f>
        <v>0.0</v>
      </c>
      <c r="E103" s="7" t="n">
        <f>HYPERLINK("https://www.somogyi.sk/data/img/product_main_images/small/18783.jpg","https://www.somogyi.sk/data/img/product_main_images/small/18783.jpg")</f>
        <v>0.0</v>
      </c>
      <c r="F103" s="2" t="inlineStr">
        <is>
          <t>5400269231675</t>
        </is>
      </c>
      <c r="G103" s="4" t="inlineStr">
        <is>
          <t>Chcete si vychutnať chute rôznych národov u vás doma bez toho, aby ste museli opustiť záhradu? Vybrali by ste sa na kulinársky výlet do Talianska? 
Hneď vám napadne chrumkavá pizza plná neodolateľných príloh! Ale ako ju najlepšie pripraviť? Samozrejme, na grile! Zoznámte sa s kameňom na pizzu BBQ, veľmi praktickým nástrojom, ktorý sa dá použiť na plynových griloch aj na griloch na drevené uhlie. S kameňom na pizzu BBQ môžete svoj gril okamžite premeniť na skutočnú pec na pizzu!
Tento špeciálny kameň na pizzu s priemerom 36 cm vám umožní pripraviť si doma na záhrade pravú pizzu pečenú na ohni. Univerzálny kameň na pizzu Barbecook sa ľahko používa, takže každý bude môcť pripraviť dokonalú taliansku pizzu, či už na plynovom grile alebo na grile na drevené uhlie. Či už ide o tradičnú Margheritu alebo jedinečný vlastný výtvor, s kameňom na pizzu BBQecok bude mať každá pizza chrumkavý základ a dokonale roztavený syr.
Pozvite svojich priateľov na taliansky večer a oslňte ich svojou domácou pizzou s plechom na pizzu Barbecook BC-ACC-7013!</t>
        </is>
      </c>
    </row>
    <row r="104">
      <c r="A104" s="6" t="inlineStr">
        <is>
          <t xml:space="preserve">      Grilovanie / Grilovacie príslušenstvo / Platne a mriežky na grilovanie</t>
        </is>
      </c>
      <c r="B104" s="6" t="inlineStr">
        <is>
          <t/>
        </is>
      </c>
      <c r="C104" s="6" t="inlineStr">
        <is>
          <t/>
        </is>
      </c>
      <c r="D104" s="6" t="inlineStr">
        <is>
          <t/>
        </is>
      </c>
      <c r="E104" s="6" t="inlineStr">
        <is>
          <t/>
        </is>
      </c>
      <c r="F104" s="6" t="inlineStr">
        <is>
          <t/>
        </is>
      </c>
      <c r="G104" s="6" t="inlineStr">
        <is>
          <t/>
        </is>
      </c>
    </row>
    <row r="105">
      <c r="A105" s="3" t="inlineStr">
        <is>
          <t>BC-ACC-7126</t>
        </is>
      </c>
      <c r="B105" s="2" t="inlineStr">
        <is>
          <t>Barbecook BC-ACC-7126 Dynamic Core smaltovaná liatinová grilovacia doska, 43x35cm</t>
        </is>
      </c>
      <c r="C105" s="1" t="n">
        <v>108.9</v>
      </c>
      <c r="D105" s="7" t="n">
        <f>HYPERLINK("https://www.somogyi.sk/product/barbecook-bc-acc-7126-dynamic-core-smaltovana-liatinova-grilovacia-doska-43x35cm-bc-acc-7126-18790","https://www.somogyi.sk/product/barbecook-bc-acc-7126-dynamic-core-smaltovana-liatinova-grilovacia-doska-43x35cm-bc-acc-7126-18790")</f>
        <v>0.0</v>
      </c>
      <c r="E105" s="7" t="n">
        <f>HYPERLINK("https://www.somogyi.sk/data/img/product_main_images/small/18790.jpg","https://www.somogyi.sk/data/img/product_main_images/small/18790.jpg")</f>
        <v>0.0</v>
      </c>
      <c r="F105" s="2" t="inlineStr">
        <is>
          <t>5400269240530</t>
        </is>
      </c>
      <c r="G105" s="4" t="inlineStr">
        <is>
          <t>Ste fanúšikom južanskej kuchyne? Potom je liatinová smaltovaná doska Barbecook BC-ACC-7126 Dynamic Core určená práve pre vás! Umiestnite grilovaciu dosku na svoj plynový gril a objavte množstvo nových možností grilovania. ¡Caramba!
Čo je smaltovaná liatinová grilovacia doska Dynamic Core?
Keď navštívite španielsku reštauráciu, v jedálnom lístku sa nepochybne stretnete s výrazom ""à la plancha"". Doslova to znamená: varenie na plochej panvici. Aby ste tento zážitok preniesli aj do svojho plynového grilu, spoločnosť Barbecook vytvorila univerzálnu smaltovanú liatinovú grilovaciu dosku Dynamic Core. Je celá vyrobená zo smaltovanej liatiny a má rovnú a rebrovanú stranu. Špecifické zloženie grilovacej dosky zabezpečuje jej rýchle zahriatie a udržanie tepla. Vďaka tomu je grilovanie vašich obľúbených surovín, ako sú krevety alebo kalamáre, hračkou. Tento grilovací plech je špeciálne navrhnutý pre plynové grily Barbecook Siesta a Barbecook Stella.
Ako ju používať?
Univerzálna grilovacia doska Barbecook sa používa veľmi jednoducho. Umiestnite grilovaciu dosku na plynový gril, otvorte plynovú fľašu. Zapnite všetky horáky na plný výkon a nechajte gril predhrievať približne desať minút. Keď je gril dostatočne rozpálený, na grilovaciu dosku dajte trochu olivového oleja a začnite grilovať ""à la plancha"". Čím horúcejšia je doska, tým menšia je pravdepodobnosť, že sa na ňu jedlo prilepí. Vysoká teplota navyše zachová čistú chuť surovín. Dávate prednosť grilovaniu na plochej platni alebo by ste radšej videli na jedle niekoľko grilovacích stôp? S univerzálnou grilovacou doskou môžete robiť oboje! Grilovanie na grilovacej platni je veľmi rýchle, preto nezabudnite suroviny včas otočiť. Napríklad krevety potrebujú len 2 minúty na každú stranu. Na vybratie hotového pokrmu z plechu použite špachtľu.
Ako udržiavať univerzálnu grilovaciu dosku?
Údržba grilovacej dosky je jednoduchá! Vyhnite sa používaniu agresívnych čistiacich prostriedkov. Na uvoľnenie nečistôt stačí na horúcu grilovaciu dosku naliať trochu vody. Potom, keď zariadenie vychladne, použite mäkkú špongiu alebo utierku na odstránenie zvyškov mastnoty. Pred uskladnením nikdy nezabudnite grilovaciu dosku úplne vysušiť.
Nalaďte sa na grilovaciu atmosféru so smaltovanou liatinovou grilovacou doskou Barbecook Dynamic Core a oslňte svojich hostí!</t>
        </is>
      </c>
    </row>
    <row r="106">
      <c r="A106" s="3" t="inlineStr">
        <is>
          <t>BC-ACC-7087</t>
        </is>
      </c>
      <c r="B106" s="2" t="inlineStr">
        <is>
          <t>Barbecook BC-ACC-7087 Smaltovaná liatinová grilovacia doska, obojstranná, okrúhla, 35 cm</t>
        </is>
      </c>
      <c r="C106" s="1" t="n">
        <v>63.19</v>
      </c>
      <c r="D106" s="7" t="n">
        <f>HYPERLINK("https://www.somogyi.sk/product/barbecook-bc-acc-7087-smaltovana-liatinova-grilovacia-doska-obojstranna-okruhla-35-cm-bc-acc-7087-18786","https://www.somogyi.sk/product/barbecook-bc-acc-7087-smaltovana-liatinova-grilovacia-doska-obojstranna-okruhla-35-cm-bc-acc-7087-18786")</f>
        <v>0.0</v>
      </c>
      <c r="E106" s="7" t="n">
        <f>HYPERLINK("https://www.somogyi.sk/data/img/product_main_images/small/18786.jpg","https://www.somogyi.sk/data/img/product_main_images/small/18786.jpg")</f>
        <v>0.0</v>
      </c>
      <c r="F106" s="2" t="inlineStr">
        <is>
          <t>5400269219611</t>
        </is>
      </c>
      <c r="G106" s="4" t="inlineStr">
        <is>
          <t>Chcete dosiahnuť dokonalé výsledky pri každom grilovaní? Obojstranná okrúhla liatinová grilovacia doska Barbecook BC-ACC-7087 je ideálnym nástrojom pre všetky kompatibilné grily na drevené uhlie a zaručuje rovnomernú prípravu pokrmov.
Táto vysokokvalitná smaltovaná liatinová grilovacia doska s priemerom 35 cm je ideálnou voľbou na grilovanie mäsa, zeleniny a mnohých ďalších pokrmov. Vďaka obojstrannej konštrukcii si môžete vybrať medzi hladkým povrchom a rebrovanými stranami, takže je dostatočne univerzálny na prípravu všetkých druhov pokrmov. Hladká strana je skvelá na palacinky alebo raňajkové pokrmy, zatiaľ čo rebrovaná strana je ideálna na grilovanú zeleninu a mäso, ktorým dodá výraznú grilovaciu stopu.
Získajte z grilovania maximum s obojstrannou liatinovou grilovacou doskou Barbecook!</t>
        </is>
      </c>
    </row>
    <row r="107">
      <c r="A107" s="3" t="inlineStr">
        <is>
          <t>BC-ACC-7411</t>
        </is>
      </c>
      <c r="B107" s="2" t="inlineStr">
        <is>
          <t>Barbecook BC-ACC-7411 2ks grilovacia doska, priemer 40 cm</t>
        </is>
      </c>
      <c r="C107" s="1" t="n">
        <v>9.39</v>
      </c>
      <c r="D107" s="7" t="n">
        <f>HYPERLINK("https://www.somogyi.sk/product/barbecook-bc-acc-7411-2ks-grilovacia-doska-priemer-40-cm-bc-acc-7411-18828","https://www.somogyi.sk/product/barbecook-bc-acc-7411-2ks-grilovacia-doska-priemer-40-cm-bc-acc-7411-18828")</f>
        <v>0.0</v>
      </c>
      <c r="E107" s="7" t="n">
        <f>HYPERLINK("https://www.somogyi.sk/data/img/product_main_images/small/18828.jpg","https://www.somogyi.sk/data/img/product_main_images/small/18828.jpg")</f>
        <v>0.0</v>
      </c>
      <c r="F107" s="2" t="inlineStr">
        <is>
          <t>5420059847893</t>
        </is>
      </c>
      <c r="G107" s="4" t="inlineStr">
        <is>
          <t>Premýšľali ste niekedy o tom, ako zabrániť tomu, aby sa mäso pri grilovaní prilepilo a prepadlo cez gril? Grilovacia doska Barbecook BC-ACC-7411 presne tento problém rieši a zároveň udržiava grilovací rošt čistý.
Táto dvojdielna súprava grilovacích dosiek je dokonalým doplnkom na každú grilovaciu párty. S hrúbkou len 0,1 mm mimoriadne účinne zabraňuje skĺznutiu jedla medzi rošty alebo jeho prilepeniu na ne. Plechy s priemerom 40 cm sú vhodné pre všetky štandardné grily a zaručene udržujú čistotu grilovacej plochy.
Používanie grilovacích dosiek je jednoduché: stačí ich umiestniť na grilovací rošt a môžete pripravovať svoje obľúbené pokrmy bez obáv, že jedlo prepadne cez rošt alebo sa pripáli. Po grilovaní sa ľahko čistia, takže sú pripravené na ďalšie použitie.
Vyberte si grilovací plech Barbecook BC-ACC-7411 2ks, aby vaše grilovanie prebiehalo zakaždým hladko a čisto. Kúpte si toto praktické príslušenstvo a užívajte si všetky výhody bezproblémového grilovania!</t>
        </is>
      </c>
    </row>
    <row r="108">
      <c r="A108" s="3" t="inlineStr">
        <is>
          <t>BC-ACC-7439</t>
        </is>
      </c>
      <c r="B108" s="2" t="inlineStr">
        <is>
          <t>Barbecook BC-ACC-7439 grilovacia platňa, 2 ks, 40 x 33 cm</t>
        </is>
      </c>
      <c r="C108" s="1" t="n">
        <v>11.49</v>
      </c>
      <c r="D108" s="7" t="n">
        <f>HYPERLINK("https://www.somogyi.sk/product/barbecook-bc-acc-7439-grilovacia-platna-2-ks-40-x-33-cm-bc-acc-7439-18792","https://www.somogyi.sk/product/barbecook-bc-acc-7439-grilovacia-platna-2-ks-40-x-33-cm-bc-acc-7439-18792")</f>
        <v>0.0</v>
      </c>
      <c r="E108" s="7" t="n">
        <f>HYPERLINK("https://www.somogyi.sk/data/img/product_main_images/small/18792.jpg","https://www.somogyi.sk/data/img/product_main_images/small/18792.jpg")</f>
        <v>0.0</v>
      </c>
      <c r="F108" s="2" t="inlineStr">
        <is>
          <t>5420059859469</t>
        </is>
      </c>
      <c r="G108" s="4" t="inlineStr">
        <is>
          <t>Premýšľali ste niekedy o tom, ako zabrániť tomu, aby sa mäso pri grilovaní prilepilo a prepadlo cez gril? Grilovacia platňa Barbecook BC-ACC-7439 presne tento problém rieši a zároveň udržiava grilovací rošt čistý.
Táto dvojdielna súprava grilovacích platní je dokonalým doplnkom na každú grilovaciu párty. S hrúbkou iba 0,22 mm mimoriadne účinne zabraňuje kĺzaniu potravín medzi rošty alebo ich prilepeniu na ne. Platne s rozmermi 40 × 33 cm sa hodia na všetky štandardné grily a zaručene udržia grilovaciu plochu čistejšiu.
Používanie grilovacích platní je jednoduché: stačí ich položiť na grilovací rošt a môžete pripravovať svoje obľúbené pokrmy bez obáv, že jedlo prepadne cez rošt alebo sa pripáli. Po grilovaní sa ľahko čistia, takže sú pripravené na ďalšie použitie.
Vyberte si grilovaciu platňu Barbecook BC-ACC-7439 2 ks, aby vaše grilovanie prebiehalo zakaždým hladko a čisto. Kúpte si toto praktické príslušenstvo a užívajte si všetky výhody bezproblémového grilovania!</t>
        </is>
      </c>
    </row>
    <row r="109">
      <c r="A109" s="3" t="inlineStr">
        <is>
          <t>BC-ACC-7104</t>
        </is>
      </c>
      <c r="B109" s="2" t="inlineStr">
        <is>
          <t>Barbecook BC-ACC-7104 grilovacia mriežka na hamburgery, pochrómovaná, drevená rukoväť, 100% FSC, 6ks</t>
        </is>
      </c>
      <c r="C109" s="1" t="n">
        <v>17.89</v>
      </c>
      <c r="D109" s="7" t="n">
        <f>HYPERLINK("https://www.somogyi.sk/product/barbecook-bc-acc-7104-grilovacia-mriezka-na-hamburgery-pochromovana-drevena-rukovat-100-fsc-6ks-bc-acc-7104-18723","https://www.somogyi.sk/product/barbecook-bc-acc-7104-grilovacia-mriezka-na-hamburgery-pochromovana-drevena-rukovat-100-fsc-6ks-bc-acc-7104-18723")</f>
        <v>0.0</v>
      </c>
      <c r="E109" s="7" t="n">
        <f>HYPERLINK("https://www.somogyi.sk/data/img/product_main_images/small/18723.jpg","https://www.somogyi.sk/data/img/product_main_images/small/18723.jpg")</f>
        <v>0.0</v>
      </c>
      <c r="F109" s="2" t="inlineStr">
        <is>
          <t>5400269240738</t>
        </is>
      </c>
      <c r="G109" s="4" t="inlineStr">
        <is>
          <t>Chcete pripraviť dokonalé hamburgery na grile? Grilovacia mriežka na hamburgery Barbecook BC-ACC-7104 môže byť presne to, čo potrebujete. 
Táto špeciálne navrhnutá mriežka je ideálnym nástrojom na rovnomernú prípravu šiestich mäsových placiek naraz, čo zaručuje dokonalý chuťový zážitok pri každom súste.
Grilovacia mriežka s rozmermi 35 × 3 × 52,5 cm s označením FSC® je nielen praktickou, ale aj ekologickou voľbou. Každý si z času na čas rád dá šťavnatý hamburger zabalený v chrumkavej žemli s lahodnými prísadami, ako je syr čedar a cibuľa. A všetko je ešte chutnejšie, keď sa ho rozhodnete grilovať. Pozývate hostí alebo chcete pripraviť hamburgery pre celú rodinu? Potom použite grilovací rošt na hamburgery, ktorý vám umožní grilovať niekoľko placiek naraz, čím ušetríte čas.
Kúpte si grilovací rošt na hamburgery Barbecook a pripravte si neodolateľné hamburgery na ďalšiu záhradnú párty!</t>
        </is>
      </c>
    </row>
    <row r="110">
      <c r="A110" s="3" t="inlineStr">
        <is>
          <t>BC-ACC-7088</t>
        </is>
      </c>
      <c r="B110" s="2" t="inlineStr">
        <is>
          <t>Barbecook BC-ACC-7088 Obojstranná liatinová grilovacia doska Brahma, 24x42cm</t>
        </is>
      </c>
      <c r="C110" s="1" t="n">
        <v>60.69</v>
      </c>
      <c r="D110" s="7" t="n">
        <f>HYPERLINK("https://www.somogyi.sk/product/barbecook-bc-acc-7088-obojstranna-liatinova-grilovacia-doska-brahma-24x42cm-bc-acc-7088-18787","https://www.somogyi.sk/product/barbecook-bc-acc-7088-obojstranna-liatinova-grilovacia-doska-brahma-24x42cm-bc-acc-7088-18787")</f>
        <v>0.0</v>
      </c>
      <c r="E110" s="7" t="n">
        <f>HYPERLINK("https://www.somogyi.sk/data/img/product_main_images/small/18787.jpg","https://www.somogyi.sk/data/img/product_main_images/small/18787.jpg")</f>
        <v>0.0</v>
      </c>
      <c r="F110" s="2" t="inlineStr">
        <is>
          <t>5400269224318</t>
        </is>
      </c>
      <c r="G110" s="4" t="inlineStr">
        <is>
          <t>Premýšľali ste niekedy, ako ešte viac ozvláštniť svoj zážitok z grilovania? Barbecook BC-ACC-7088 Brahma Obojstranná liatinová grilovacia doska ponúka práve to všetkým majiteľom kompatibilných grilov na drevené uhlie.
Táto precízne skonštruovaná grilovacia doska zabezpečuje rovnomerné rozloženie tepla, takže jedlo je dokonale pripravené zo všetkých strán. Či už ide o zeleninu, mäso alebo dokonca obľúbené raňajky, obojstranný dizajn - jedna hladká strana a jedna rebrovaná strana - uspokojí všetky vaše potreby. Rovný povrch je ideálny na palacinky alebo vajíčka, zatiaľ čo rebrovaný povrch dodá mäsu a zelenine pruhovaný, charakteristický grilovaný vzhľad. Jeho rozmery (42 × 24 cm) sa dokonale hodia na väčšinu grilov na drevené uhlie a jeho ľahko čistiteľný povrch zaručuje, že si časom zachová svoju pôvodnú kvalitu.
Objavte nekonečné možnosti obojstrannej liatinovej grilovacej dosky Barbecook Brahma!</t>
        </is>
      </c>
    </row>
    <row r="111">
      <c r="A111" s="3" t="inlineStr">
        <is>
          <t>BC-ACC-7461</t>
        </is>
      </c>
      <c r="B111" s="2" t="inlineStr">
        <is>
          <t>Mriežka na pečenie Barbecook BC-ACC-7461 z nehrdzavejúcej ocele, priemer 43 cm</t>
        </is>
      </c>
      <c r="C111" s="1" t="n">
        <v>38.49</v>
      </c>
      <c r="D111" s="7" t="n">
        <f>HYPERLINK("https://www.somogyi.sk/product/mriezka-na-pecenie-barbecook-bc-acc-7461-z-nehrdzavejucej-ocele-priemer-43-cm-bc-acc-7461-18798","https://www.somogyi.sk/product/mriezka-na-pecenie-barbecook-bc-acc-7461-z-nehrdzavejucej-ocele-priemer-43-cm-bc-acc-7461-18798")</f>
        <v>0.0</v>
      </c>
      <c r="E111" s="7" t="n">
        <f>HYPERLINK("https://www.somogyi.sk/data/img/product_main_images/small/18798.jpg","https://www.somogyi.sk/data/img/product_main_images/small/18798.jpg")</f>
        <v>0.0</v>
      </c>
      <c r="F111" s="2" t="inlineStr">
        <is>
          <t>5404035701720</t>
        </is>
      </c>
      <c r="G111" s="4" t="inlineStr">
        <is>
          <t>Chcete si grilovanie vonku spríjemniť? Gril Barbecook BC-ACC-7461 z nehrdzavejúcej ocele je to, čo potrebujete! 
Tento grilovací rošt prémiovej kvality je špeciálne navrhnutý pre modely Barbecook Loewy 45 a Optima, ako aj pre všetky kompatibilné grily na drevené uhlie, aby zaručil dokonalé prispôsobenie a dokonalý užívateľský zážitok.
Ľahko na nej pripravíte akékoľvek jedlo (či už mäso, zeleninu alebo dokonca celú rybu). Mriežka s priemerom 43 cm ponúka dostatok priestoru pre vaše ingrediencie, zatiaľ čo materiál z nehrdzavejúcej ocele zaručuje odolnosť a jednoduchú čistiteľnosť. Už sa nemusíte obávať pripaľovania jedla ani starostí s čistením.
Posuňte svoju grilovaciu rutinu na vyššiu úroveň s grilom Barbecook BC-ACC-7461!</t>
        </is>
      </c>
    </row>
    <row r="112">
      <c r="A112" s="3" t="inlineStr">
        <is>
          <t>BC-ACC-7090</t>
        </is>
      </c>
      <c r="B112" s="2" t="inlineStr">
        <is>
          <t>Barbecook BC-ACC-7090 Grilovacia mriežka na klobásy, 8x51cm</t>
        </is>
      </c>
      <c r="C112" s="1" t="n">
        <v>8.59</v>
      </c>
      <c r="D112" s="7" t="n">
        <f>HYPERLINK("https://www.somogyi.sk/product/barbecook-bc-acc-7090-grilovacia-mriezka-na-klobasy-8x51cm-bc-acc-7090-18788","https://www.somogyi.sk/product/barbecook-bc-acc-7090-grilovacia-mriezka-na-klobasy-8x51cm-bc-acc-7090-18788")</f>
        <v>0.0</v>
      </c>
      <c r="E112" s="7" t="n">
        <f>HYPERLINK("https://www.somogyi.sk/data/img/product_main_images/small/18788.jpg","https://www.somogyi.sk/data/img/product_main_images/small/18788.jpg")</f>
        <v>0.0</v>
      </c>
      <c r="F112" s="2" t="inlineStr">
        <is>
          <t>5400269240714</t>
        </is>
      </c>
      <c r="G112" s="4" t="inlineStr">
        <is>
          <t>Už vás nebavia tradičné grilovacie rošty, pretože sa vám klobásky nikdy nepodarí ugrilovať rovnomerne? Grilovacia mriežka na klobásy Barbecook BC-ACC-7090 je určená pre tých, ktorí chcú jedinečný spôsob grilovania klobás bez toho, aby padali medzi mriežky alebo sa grilovali nerovnomerne.
Táto špeciálna grilovacia mriežka je ideálna na grilovanie štyroch klobás naraz, čím sa zabezpečí rovnomerné prepečenie každej klobásy, aby ste dosiahli dokonalú chuť a štruktúru. Vďaka konštrukcii mriežky s jednoduchým uzamykaním zostanú klobásy počas grilovania bezpečne na svojom mieste, čím sa zabráni ich prepadnutiu medzi mriežky.
Barbecook BC-ACC-7090 sa zameriava nielen na pohodlie a rovnomerné výsledky pečenia, ale aj na šetrnosť k životnému prostrediu. Certifikát FSC® zaručuje, že pri výrobe výrobku sa používa len drevo z trvalo udržateľných zdrojov, takže výberom tohto výrobku prispievate aj k ochrane životného prostredia.
Tento grilovací rošt na klobásy nielenže uľahčuje a spríjemňuje grilovanie, ale uľahčuje aj čistenie, pretože vďaka uzatvárateľnému roštu sa menej odpadu z potravín dostáva priamo na gril, čo výrazne uľahčuje jeho čistenie.
Objavte nové možnosti grilovacieho roštu na klobásy Barbecook BC-ACC-7090 a vychutnajte si chuť dokonale pripravených klobás pri najbližšom grilovaní!</t>
        </is>
      </c>
    </row>
    <row r="113">
      <c r="A113" s="3" t="inlineStr">
        <is>
          <t>BC-ACC-7443</t>
        </is>
      </c>
      <c r="B113" s="2" t="inlineStr">
        <is>
          <t>Barbecook BC-ACC-7443 Kamal kamado 60/XL sada liatinových mriežok, 2 ks v tvare polmesiaca</t>
        </is>
      </c>
      <c r="C113" s="1" t="n">
        <v>104.9</v>
      </c>
      <c r="D113" s="7" t="n">
        <f>HYPERLINK("https://www.somogyi.sk/product/barbecook-bc-acc-7443-kamal-kamado-60-xl-sada-liatinovych-mriezok-2-ks-v-tvare-polmesiaca-bc-acc-7443-18794","https://www.somogyi.sk/product/barbecook-bc-acc-7443-kamal-kamado-60-xl-sada-liatinovych-mriezok-2-ks-v-tvare-polmesiaca-bc-acc-7443-18794")</f>
        <v>0.0</v>
      </c>
      <c r="E113" s="7" t="n">
        <f>HYPERLINK("https://www.somogyi.sk/data/img/product_main_images/small/18794.jpg","https://www.somogyi.sk/data/img/product_main_images/small/18794.jpg")</f>
        <v>0.0</v>
      </c>
      <c r="F113" s="2" t="inlineStr">
        <is>
          <t>5420059859605</t>
        </is>
      </c>
      <c r="G113" s="4" t="inlineStr">
        <is>
          <t>Chcete, aby vaše grilované jedlo bolo dokonale a rovnomerne prepečené zo všetkých strán? Súprava liatinových grilovacích roštov Barbecook BC-ACC-7443 Kamal Kamado 60/XL vám toto želanie splní a zabezpečí, že každé sústo bude čo najchutnejšie.
Táto súprava liatinových mriežok výnimočnej kvality bola špeciálne navrhnutá pre gril na drevené uhlie Barbecook Kamal Kamado 60/XL a zabezpečuje dokonalé prispôsobenie a optimálne rozloženie tepla. Vďaka materiálu z liatiny sú tieto mriežky mimoriadne odolné a ideálne na uchovávanie tepla, čo umožňuje rovnomerné varenie potravín a zachovanie ich chuti.
Spríjemnite si grilovanie touto sadou liatinových mriežok, ktorá nielen zvýrazní chuť a textúru, ale aj  uľahčí proces grilovania. Či už ide o steaky, zeleninu alebo dokonca ryby, tieto mriežky vám zakaždým zabezpečia tie najlepšie možné výsledky.
Objavte výhody súpravy liatinových mriežok Barbecook Kamado 60/XL a vychutnajte si dlhotrvajúce a rovnomerné rozloženie tepla, ktoré zaručí dokonalé výsledky pri každom grilovaní.</t>
        </is>
      </c>
    </row>
    <row r="114">
      <c r="A114" s="3" t="inlineStr">
        <is>
          <t>BC-ACC-7059</t>
        </is>
      </c>
      <c r="B114" s="2" t="inlineStr">
        <is>
          <t>Univerzálny grilovací rošt Barbecook BC-ACC-7059</t>
        </is>
      </c>
      <c r="C114" s="1" t="n">
        <v>24.49</v>
      </c>
      <c r="D114" s="7" t="n">
        <f>HYPERLINK("https://www.somogyi.sk/product/univerzalny-grilovaci-rost-barbecook-bc-acc-7059-bc-acc-7059-18739","https://www.somogyi.sk/product/univerzalny-grilovaci-rost-barbecook-bc-acc-7059-bc-acc-7059-18739")</f>
        <v>0.0</v>
      </c>
      <c r="E114" s="7" t="n">
        <f>HYPERLINK("https://www.somogyi.sk/data/img/product_main_images/small/18739.jpg","https://www.somogyi.sk/data/img/product_main_images/small/18739.jpg")</f>
        <v>0.0</v>
      </c>
      <c r="F114" s="2" t="inlineStr">
        <is>
          <t>5400269240677</t>
        </is>
      </c>
      <c r="G114" s="4" t="inlineStr">
        <is>
          <t>Hľadáte multifunkčný grilovací rošt, ktorý sa ľahko prispôsobí všetkým vašim potrebám pri varení? Univerzálna grilovacia mriežka Barbecook BC-ACC-7059 je ideálnou voľbou pre tých, ktorí majú radi rozmanitosť a jednoduché používanie počas grilovania.
Tento vysokokvalitný grilovací rošt je ideálnym riešením na jednoduché otáčanie všetkých druhov potravín, či už ide o zeleninu, mäso, ryby alebo dokonca sendviče. Rozmery 41 × 62 cm zaručujú, že sa naň naraz zmestí veľké množstvo potravín, takže môžete pohodlne obslúžiť väčšie skupiny ľudí viacerými a chutnejšími grilovanými pokrmami.
Grilovací rošt BC-ACC-7059 je nielen praktickou, ale aj udržateľnou voľbou. Certifikát FSC® zaručuje, že výrobok bol vyrobený s ohľadom na životné prostredie, takže môžete prispieť k udržateľnému obhospodarovaniu lesov.
Navyše sa mimoriadne ľahko čistí, takže nemusíte tráviť hodiny upratovaním po pečení. Stačí ho opláchnuť vodou a je pripravený na ďalšie použitie.
Nedovoľte, aby váš zážitok z grilovania zatienila zložitá príprava a čistenie. S univerzálnou grilovacou mriežkou Barbecook BC-ACC-7059 môžete aj vy ohúriť svojich hostí ako profesionálny šéfkuchár, pričom ekologický a ľahko použiteľný dizajn znamená viac času na zábavu.</t>
        </is>
      </c>
    </row>
    <row r="115">
      <c r="A115" s="3" t="inlineStr">
        <is>
          <t>BC-ACC-7441</t>
        </is>
      </c>
      <c r="B115" s="2" t="inlineStr">
        <is>
          <t>Barbecook BC-ACC-7441 Kamal kamado 60/XL systém na grilovanie</t>
        </is>
      </c>
      <c r="C115" s="1" t="n">
        <v>217.9</v>
      </c>
      <c r="D115" s="7" t="n">
        <f>HYPERLINK("https://www.somogyi.sk/product/barbecook-bc-acc-7441-kamal-kamado-60-xl-system-na-grilovanie-bc-acc-7441-18793","https://www.somogyi.sk/product/barbecook-bc-acc-7441-kamal-kamado-60-xl-system-na-grilovanie-bc-acc-7441-18793")</f>
        <v>0.0</v>
      </c>
      <c r="E115" s="7" t="n">
        <f>HYPERLINK("https://www.somogyi.sk/data/img/product_main_images/small/18793.jpg","https://www.somogyi.sk/data/img/product_main_images/small/18793.jpg")</f>
        <v>0.0</v>
      </c>
      <c r="F115" s="2" t="inlineStr">
        <is>
          <t>5420059859582</t>
        </is>
      </c>
      <c r="G115" s="4" t="inlineStr">
        <is>
          <t>Hľadáte spôsob, ako dosiahnuť čo najdokonalejšie rozloženie tepla počas grilovania? S grilovacím systémom Barbecook BC-ACC-7441 Kamal 60/XL teraz ponúkame možnosť dvojúrovňového grilovania, ktoré optimálne rozvádza teplo, takže všetky strany grilovaného pokrmu sú dokonale prepečené.
Tento systém bol špeciálne navrhnutý pre gril na drevené uhlie Barbecook Kamal Kamado 60/XL a umožňuje vám vytvárať ešte chutnejšie a šťavnatejšie pokrmy pomocou nepriamej techniky grilovania. Nepriame grilovanie je ideálne na pomalú a rovnomernú prípravu väčších kusov mäsa, ako sú celé kurčatá alebo veľké porcie mäsa, pri ktorom teplo nepôsobí priamo pod jedlom, ale vo vnútri grilu.
Dvojúrovňové usporiadanie nielenže poskytuje viac priestoru pre grilované potraviny, ale tiež umožňuje pripravovať niekoľko druhov potravín pri rôznych teplotách súčasne. Vďaka tomu môžete súčasne pripravovať hlavné jedlá a prílohy a maximalizovať grilovaciu plochu.
Barbecook BC-ACC-7441 Kamal 60/XL posúva umenie grilovania do novej dimenzie. Dokonalé rozloženie tepla, flexibilita a výhody nepriameho grilovania čakajú na objavenie. S týmto sofistikovaným a inovatívnym systémom grilovania premeníte svoje zážitky z grilovania na niečo jedinečné.</t>
        </is>
      </c>
    </row>
    <row r="116">
      <c r="A116" s="3" t="inlineStr">
        <is>
          <t>BC-ACC-7438</t>
        </is>
      </c>
      <c r="B116" s="2" t="inlineStr">
        <is>
          <t>Barbecook BC-ACC-7438 grilovacia platňa, 2 ks, priemer 32 cm</t>
        </is>
      </c>
      <c r="C116" s="1" t="n">
        <v>11.49</v>
      </c>
      <c r="D116" s="7" t="n">
        <f>HYPERLINK("https://www.somogyi.sk/product/barbecook-bc-acc-7438-grilovacia-platna-2-ks-priemer-32-cm-bc-acc-7438-18791","https://www.somogyi.sk/product/barbecook-bc-acc-7438-grilovacia-platna-2-ks-priemer-32-cm-bc-acc-7438-18791")</f>
        <v>0.0</v>
      </c>
      <c r="E116" s="7" t="n">
        <f>HYPERLINK("https://www.somogyi.sk/data/img/product_main_images/small/18791.jpg","https://www.somogyi.sk/data/img/product_main_images/small/18791.jpg")</f>
        <v>0.0</v>
      </c>
      <c r="F116" s="2" t="inlineStr">
        <is>
          <t>5420059859452</t>
        </is>
      </c>
      <c r="G116" s="4" t="inlineStr">
        <is>
          <t>Premýšľali ste niekedy o tom, ako zabrániť tomu, aby sa mäso pri grilovaní prilepilo a prepadlo cez gril? Grilovacia platňa Barbecook BC-ACC-7438 presne tento problém rieši a zároveň udržiava grilovací rošt čistý.
Táto dvojdielna súprava grilovacích platní je dokonalým doplnkom na každú grilovaciu párty. S hrúbkou iba 0,22 mm mimoriadne účinne zabraňuje skĺznutiu potravín medzi rošty alebo ich prilepeniu na ne. Platne s priemerom 32 cm sú vhodné na všetky štandardné grily a zaručene udržujú čistotu grilovacej plochy.
Používanie grilovacích platní je jednoduché: stačí ich položiť na grilovací rošt a môžete pripravovať svoje obľúbené pokrmy bez obáv, že jedlo prepadne cez rošt alebo sa pripáli. Po grilovaní sa ľahko čistia, takže sú pripravené na ďalšie použitie.
Vyberte si grilovaciu platňu Barbecook BC-ACC-7438 2 ks, aby vaše grilovanie prebiehalo zakaždým hladko a čisto. Kúpte si toto praktické príslušenstvo a užívajte si všetky výhody bezproblémového grilovania!</t>
        </is>
      </c>
    </row>
    <row r="117">
      <c r="A117" s="3" t="inlineStr">
        <is>
          <t>BC-ACC-7459</t>
        </is>
      </c>
      <c r="B117" s="2" t="inlineStr">
        <is>
          <t>Grilovacia mriežka z nehrdzavejúcej ocele BC-ACC-7459, priemer 50 cm</t>
        </is>
      </c>
      <c r="C117" s="1" t="n">
        <v>50.59</v>
      </c>
      <c r="D117" s="7" t="n">
        <f>HYPERLINK("https://www.somogyi.sk/product/grilovacia-mriezka-z-nehrdzavejucej-ocele-bc-acc-7459-priemer-50-cm-bc-acc-7459-18796","https://www.somogyi.sk/product/grilovacia-mriezka-z-nehrdzavejucej-ocele-bc-acc-7459-priemer-50-cm-bc-acc-7459-18796")</f>
        <v>0.0</v>
      </c>
      <c r="E117" s="7" t="n">
        <f>HYPERLINK("https://www.somogyi.sk/data/img/product_main_images/small/18796.jpg","https://www.somogyi.sk/data/img/product_main_images/small/18796.jpg")</f>
        <v>0.0</v>
      </c>
      <c r="F117" s="2" t="inlineStr">
        <is>
          <t>5404035701683</t>
        </is>
      </c>
      <c r="G117" s="4" t="inlineStr">
        <is>
          <t>Chcete si grilovanie vonku spríjemniť? Gril Barbecook BC-ACC-7459 z nehrdzavejúcej ocele je to, čo potrebujete! 
Tento grilovací rošt prémiovej kvality je navrhnutý špeciálne pre modely Barbecook Loewy 50 a Major, ako aj pre všetky kompatibilné grily na drevené uhlie, aby zaručil dokonalé prispôsobenie a dokonalý užívateľský zážitok.
Ľahko na nej pripravíte akékoľvek jedlo (či už mäso, zeleninu alebo dokonca celú rybu). Rošt s priemerom 50 cm ponúka dostatok priestoru pre vaše ingrediencie, zatiaľ čo materiál z nehrdzavejúcej ocele zaručuje odolnosť a jednoduchú čistiteľnosť. Už sa nemusíte obávať pripaľovania jedla ani starostí s čistením.
Posuňte svoju grilovaciu rutinu na vyššiu úroveň s grilom Barbecook BC-ACC-7459!</t>
        </is>
      </c>
    </row>
    <row r="118">
      <c r="A118" s="3" t="inlineStr">
        <is>
          <t>BC-ACC-7460</t>
        </is>
      </c>
      <c r="B118" s="2" t="inlineStr">
        <is>
          <t>Grilovacia mriežka BC-ACC-7460 z nehrdzavejúcej ocele, 55x33,6cm</t>
        </is>
      </c>
      <c r="C118" s="1" t="n">
        <v>47.79</v>
      </c>
      <c r="D118" s="7" t="n">
        <f>HYPERLINK("https://www.somogyi.sk/product/grilovacia-mriezka-bc-acc-7460-z-nehrdzavejucej-ocele-55x33-6cm-bc-acc-7460-18797","https://www.somogyi.sk/product/grilovacia-mriezka-bc-acc-7460-z-nehrdzavejucej-ocele-55x33-6cm-bc-acc-7460-18797")</f>
        <v>0.0</v>
      </c>
      <c r="E118" s="7" t="n">
        <f>HYPERLINK("https://www.somogyi.sk/data/img/product_main_images/small/18797.jpg","https://www.somogyi.sk/data/img/product_main_images/small/18797.jpg")</f>
        <v>0.0</v>
      </c>
      <c r="F118" s="2" t="inlineStr">
        <is>
          <t>5404035701706</t>
        </is>
      </c>
      <c r="G118" s="4" t="inlineStr">
        <is>
          <t>Chcete si grilovanie vonku spríjemniť? Gril Barbecook BC-ACC-7460 z nehrdzavejúcej ocele je to, čo potrebujete! 
Tento grilovací rošt prémiovej kvality je špeciálne navrhnutý pre modely Barbecook Loewy 55 a Arena, ako aj pre všetky kompatibilné grily na drevené uhlie, aby zaručil dokonalé prispôsobenie a dokonalý zážitok.
Ľahko na nej pripravíte akékoľvek jedlo (či už mäso, zeleninu alebo dokonca celú rybu). Rošt s rozmermi 55 × 33,6 cm ponúka dostatok priestoru pre vaše ingrediencie, zatiaľ čo materiál z nehrdzavejúcej ocele zaručuje odolnosť a jednoduché čistenie. Už sa nemusíte obávať pripaľovania jedla ani starostí s čistením.
Posuňte svoju grilovaciu rutinu na novú úroveň s grilom Barbecook BC-ACC-7460!</t>
        </is>
      </c>
    </row>
    <row r="119">
      <c r="A119" s="6" t="inlineStr">
        <is>
          <t xml:space="preserve">      Grilovanie / Grilovacie príslušenstvo / Čistiace potreby</t>
        </is>
      </c>
      <c r="B119" s="6" t="inlineStr">
        <is>
          <t/>
        </is>
      </c>
      <c r="C119" s="6" t="inlineStr">
        <is>
          <t/>
        </is>
      </c>
      <c r="D119" s="6" t="inlineStr">
        <is>
          <t/>
        </is>
      </c>
      <c r="E119" s="6" t="inlineStr">
        <is>
          <t/>
        </is>
      </c>
      <c r="F119" s="6" t="inlineStr">
        <is>
          <t/>
        </is>
      </c>
      <c r="G119" s="6" t="inlineStr">
        <is>
          <t/>
        </is>
      </c>
    </row>
    <row r="120">
      <c r="A120" s="3" t="inlineStr">
        <is>
          <t>BC-ACC-7074</t>
        </is>
      </c>
      <c r="B120" s="2" t="inlineStr">
        <is>
          <t>Barbecook BC-ACC-7074 medená kefa na grilovanie s nerezovou škrabkou, 31 cm</t>
        </is>
      </c>
      <c r="C120" s="1" t="n">
        <v>8.99</v>
      </c>
      <c r="D120" s="7" t="n">
        <f>HYPERLINK("https://www.somogyi.sk/product/barbecook-bc-acc-7074-medena-kefa-na-grilovanie-s-nerezovou-skrabkou-31-cm-bc-acc-7074-18729","https://www.somogyi.sk/product/barbecook-bc-acc-7074-medena-kefa-na-grilovanie-s-nerezovou-skrabkou-31-cm-bc-acc-7074-18729")</f>
        <v>0.0</v>
      </c>
      <c r="E120" s="7" t="n">
        <f>HYPERLINK("https://www.somogyi.sk/data/img/product_main_images/small/18729.jpg","https://www.somogyi.sk/data/img/product_main_images/small/18729.jpg")</f>
        <v>0.0</v>
      </c>
      <c r="F120" s="2" t="inlineStr">
        <is>
          <t>5400269240622</t>
        </is>
      </c>
      <c r="G120" s="4" t="inlineStr">
        <is>
          <t>Ako môžete počas grilovacej sezóny udržiavať grily v dokonalej čistote? Barbecook BC-ACC-7074 kefa na grilovanie na drevo z medených vlákien je tajomstvom, ako si poradiť aj s tou najodolnejšou špinou a zároveň ochrániť grilovací rošt.
Táto mimoriadne kvalitná kefa na grilovanie kombinuje účinnosť čistenia medených vlákien s odolnosťou škrabania z nehrdzavejúcej ocele, čím zabezpečuje, že váš grilovací rošt bude po každom použití dokonale čistý. Rukoväť z kaučukového dreva poskytuje nielen pohodlné uchopenie, ale nesie aj označenie FSC®, ktoré zaručuje, že výrobok pochádza z trvalo udržateľného zdroja.
Vďaka svojej dĺžke 31 cm má kefa ideálnu veľkosť na efektívne a pohodlné čistenie, zatiaľ čo škrabka z nehrdzavejúcej ocele vám umožní ľahko odstrániť aj tie najťažšie odstrániteľné zvyšky.
Používajte grilovaciu kefu na drevo Barbecook BC-ACC-7074 s medenými vláknami a škrabkou z nehrdzavejúcej ocele, aby ste zabezpečili dlhotrvajúcu čistotu a hygienu grilovacieho roštu.</t>
        </is>
      </c>
    </row>
    <row r="121">
      <c r="A121" s="3" t="inlineStr">
        <is>
          <t>BC-ACC-7210</t>
        </is>
      </c>
      <c r="B121" s="2" t="inlineStr">
        <is>
          <t>Barbecook BC-ACC-7210 Čistič grilov v spreji, 500 ml</t>
        </is>
      </c>
      <c r="C121" s="1" t="n">
        <v>21.49</v>
      </c>
      <c r="D121" s="7" t="n">
        <f>HYPERLINK("https://www.somogyi.sk/product/barbecook-bc-acc-7210-cistic-grilov-v-spreji-500-ml-bc-acc-7210-18818","https://www.somogyi.sk/product/barbecook-bc-acc-7210-cistic-grilov-v-spreji-500-ml-bc-acc-7210-18818")</f>
        <v>0.0</v>
      </c>
      <c r="E121" s="7" t="n">
        <f>HYPERLINK("https://www.somogyi.sk/data/img/product_main_images/small/18818.jpg","https://www.somogyi.sk/data/img/product_main_images/small/18818.jpg")</f>
        <v>0.0</v>
      </c>
      <c r="F121" s="2" t="inlineStr">
        <is>
          <t>5420059864951</t>
        </is>
      </c>
      <c r="G121" s="4" t="inlineStr">
        <is>
          <t>Práve ste dokončili grilovanie? Je čas prejsť na čistenie grilu! 
Dôkladná údržba je nevyhnutná na to, aby bol váš gril dlho vo výbornom stave. Na tento účel použite sprej na čistenie grilu Barbecook BC-ACC-7210, ktorý je vysoko účinný pri odstraňovaní tuku, ktorý sa prilepil alebo prihorel na grilovací rošt. Čistiaci prostriedok naneste na čistený povrch a potom pomocou špongie odstráňte mastné nečistoty. Sprej sa dodáva s praktickým dávkovačom, vďaka ktorému je jeho použitie mimoriadne jednoduché. Možno ho použiť aj na čistenie príslušenstva používaného pri grilovaní.
Venujte čas údržbe svojho grilu a grilovacieho zariadenia, aby vám dlho slúžili v pôvodnom stave. Používajte sprej na čistenie grilov Barbecook BC-ACC-7210, ktorý vám ušetrí čas a námahu.</t>
        </is>
      </c>
    </row>
    <row r="122">
      <c r="A122" s="3" t="inlineStr">
        <is>
          <t>GRT04</t>
        </is>
      </c>
      <c r="B122" s="2" t="inlineStr">
        <is>
          <t>Grilovacia kefa s dlhou rúčkou, tvrdá špongia, kovová grilovacia kefa, nerezová škrabka</t>
        </is>
      </c>
      <c r="C122" s="1" t="n">
        <v>3.79</v>
      </c>
      <c r="D122" s="7" t="n">
        <f>HYPERLINK("https://www.somogyi.sk/product/grilovacia-kefa-s-dlhou-ruckou-tvrda-spongia-kovova-grilovacia-kefa-nerezova-skrabka-grt04-19074","https://www.somogyi.sk/product/grilovacia-kefa-s-dlhou-ruckou-tvrda-spongia-kovova-grilovacia-kefa-nerezova-skrabka-grt04-19074")</f>
        <v>0.0</v>
      </c>
      <c r="E122" s="7" t="n">
        <f>HYPERLINK("https://www.somogyi.sk/data/img/product_main_images/small/19074.jpg","https://www.somogyi.sk/data/img/product_main_images/small/19074.jpg")</f>
        <v>0.0</v>
      </c>
      <c r="F122" s="2" t="inlineStr">
        <is>
          <t>5999084970673</t>
        </is>
      </c>
      <c r="G122" s="4" t="inlineStr">
        <is>
          <t xml:space="preserve"> • rozmery: 37,5 cm</t>
        </is>
      </c>
    </row>
    <row r="123">
      <c r="A123" s="3" t="inlineStr">
        <is>
          <t>BC-ACC-7065</t>
        </is>
      </c>
      <c r="B123" s="2" t="inlineStr">
        <is>
          <t>Barbecook BC-ACC-7065 Čistič grilovacieho roštu s rukoväťou 3 v 1, čierny</t>
        </is>
      </c>
      <c r="C123" s="1" t="n">
        <v>8.39</v>
      </c>
      <c r="D123" s="7" t="n">
        <f>HYPERLINK("https://www.somogyi.sk/product/barbecook-bc-acc-7065-cistic-grilovacieho-rostu-s-rukovatou-3-v-1-cierny-bc-acc-7065-18775","https://www.somogyi.sk/product/barbecook-bc-acc-7065-cistic-grilovacieho-rostu-s-rukovatou-3-v-1-cierny-bc-acc-7065-18775")</f>
        <v>0.0</v>
      </c>
      <c r="E123" s="7" t="n">
        <f>HYPERLINK("https://www.somogyi.sk/data/img/product_main_images/small/18775.jpg","https://www.somogyi.sk/data/img/product_main_images/small/18775.jpg")</f>
        <v>0.0</v>
      </c>
      <c r="F123" s="2" t="inlineStr">
        <is>
          <t>5400269231576</t>
        </is>
      </c>
      <c r="G123" s="4" t="inlineStr">
        <is>
          <t>Chcete si zjednodušiť čistenie grilovacích roštov bez toho, aby ste znížili ich účinnosť? Barbecook BC-ACC-7065 Čistič grilovacích roštov s rukoväťou 3 v 1 je ideálny nástroj, ktorý spája tri základné funkcie v jednom praktickom nástroji, vďaka čomu je čistenie grilovacích roštov rýchlejšie a dôkladnejšie ako kedykoľvek predtým.
Tento jedinečný čistič grilovacieho roštu je vybavený kefou, drhnutím a škrabaním, čo vám umožní odstrániť všetky druhy nečistôt z grilovacieho roštu, od voľných zvyškov až po pripálené zvyšky jedla. Navrhnutý s dlhou rukoväťou pre väčšie pohodlie a bezpečnosť počas používania.
Jeho čierna farba mu dodáva štýlový vzhľad, zatiaľ čo jeho kompaktné rozmery - 3,5 × 2 × 42 cm - zaručujú, že sa ľahko skladuje a v prípade potreby je vždy po ruke.
Objavte, aké jednoduché môže byť čistenie grilovacích roštov s čističom grilovacích roštov s rukoväťou Barbecook BC-ACC-7065 3 v 1.</t>
        </is>
      </c>
    </row>
    <row r="124">
      <c r="A124" s="3" t="inlineStr">
        <is>
          <t>BC-ACC-7058</t>
        </is>
      </c>
      <c r="B124" s="2" t="inlineStr">
        <is>
          <t>Plastová čistiaca kefa Barbecook BC-ACC-7058, čierna</t>
        </is>
      </c>
      <c r="C124" s="1" t="n">
        <v>5.29</v>
      </c>
      <c r="D124" s="7" t="n">
        <f>HYPERLINK("https://www.somogyi.sk/product/plastova-cistiaca-kefa-barbecook-bc-acc-7058-cierna-bc-acc-7058-18728","https://www.somogyi.sk/product/plastova-cistiaca-kefa-barbecook-bc-acc-7058-cierna-bc-acc-7058-18728")</f>
        <v>0.0</v>
      </c>
      <c r="E124" s="7" t="n">
        <f>HYPERLINK("https://www.somogyi.sk/data/img/product_main_images/small/18728.jpg","https://www.somogyi.sk/data/img/product_main_images/small/18728.jpg")</f>
        <v>0.0</v>
      </c>
      <c r="F124" s="2" t="inlineStr">
        <is>
          <t>5400269213114</t>
        </is>
      </c>
      <c r="G124" s="4" t="inlineStr">
        <is>
          <t>Chcete účinne a rýchlo vyčistiť grilovací rošt? Plastová čistiaca kefa Barbecook BC-ACC-7058 je riešenie, ktoré vám uľahčí čistenie grilu a vy budete mať viac času na grilovanie.
Táto vysokokvalitná čistiaca kefa je vybavená nylonovou čistiacou časťou, ktorá účinne odstraňuje pripálené zvyšky a mastnotu, zatiaľ čo ergonomická plastová rukoväť poskytuje pohodlné a bezpečné uchopenie. Dizajn kefy je špeciálne prispôsobený tvaru a potrebám grilovacích roštov, čo umožňuje dôkladné a rýchle čistenie.
Plastová čistiaca kefa Barbecook BC-ACC-7058 je ideálnou voľbou pre každého, kto má rád čistý a dobre udržiavaný grilovací rošt, ale nechce tráviť hodiny čistením. Ľahko sa čistí a je vyrobená z odolného materiálu, bude vaším spoľahlivým spoločníkom počas dlhých grilovacích sezón.
Prejdite na plastovú čistiacu kefu Barbecook BC-ACC-7058 a užite si rýchle čistenie bez námahy po každom grilovaní.</t>
        </is>
      </c>
    </row>
    <row r="125">
      <c r="A125" s="3" t="inlineStr">
        <is>
          <t>BC-ACC-7410</t>
        </is>
      </c>
      <c r="B125" s="2" t="inlineStr">
        <is>
          <t>Barbecook BC-ACC-7410 Ošetrujúci olej na bambus a výrobky z dreva, 200 ml</t>
        </is>
      </c>
      <c r="C125" s="1" t="n">
        <v>14.59</v>
      </c>
      <c r="D125" s="7" t="n">
        <f>HYPERLINK("https://www.somogyi.sk/product/barbecook-bc-acc-7410-osetrujuci-olej-na-bambus-a-vyrobky-z-dreva-200-ml-bc-acc-7410-18827","https://www.somogyi.sk/product/barbecook-bc-acc-7410-osetrujuci-olej-na-bambus-a-vyrobky-z-dreva-200-ml-bc-acc-7410-18827")</f>
        <v>0.0</v>
      </c>
      <c r="E125" s="7" t="n">
        <f>HYPERLINK("https://www.somogyi.sk/data/img/product_main_images/small/18827.jpg","https://www.somogyi.sk/data/img/product_main_images/small/18827.jpg")</f>
        <v>0.0</v>
      </c>
      <c r="F125" s="2" t="inlineStr">
        <is>
          <t>5420059846407</t>
        </is>
      </c>
      <c r="G125" s="4" t="inlineStr">
        <is>
          <t>Hľadáte riešenie, ako udržať krájacie dosky z bambusu alebo iného dreva dlho krásne? Barbecook BC-ACC-7410 Conditioning Oil je určený práve na to, aby chránil bambus a drevo pred vysychaním a praskaním.
Tento špeciálny olej s objemom 200 ml je špeciálne vyvinutý na starostlivosť o bambusové a drevené povrchy. Jeho zloženie bez zápachu, chuti a farby zaručuje, že prirodzená krása vašich dosiek na krájanie nebude narušená. Pravidelné používanie oleja Barbecook Care Oil zabraňuje vysychaniu a praskaniu, čím poskytuje vášmu drevu dlhšiu životnosť.
Aplikácia je rýchla a jednoduchá: stačí naniesť tenkú vrstvu na očistený a suchý bambusový alebo drevený povrch a nechať zaschnúť. Olej sa hĺbkovo vstrebáva, vyživuje drevo a vytvára ochrannú vrstvu proti škodlivým vplyvom prostredia.
Nedovoľte, aby sa bambus alebo drevo poškodili! Používajte pravidelne Barbecook BC-ACC-7410 Conditioning Oil a užívajte si dlhotrvajúcu krásu.</t>
        </is>
      </c>
    </row>
    <row r="126">
      <c r="A126" s="3" t="inlineStr">
        <is>
          <t>BC-ACC-7063</t>
        </is>
      </c>
      <c r="B126" s="2" t="inlineStr">
        <is>
          <t>Barbecook BC-ACC-7063 čistiaca kefa s dvomi hlavami, medená hlavica, gumená drevená rukoväť</t>
        </is>
      </c>
      <c r="C126" s="1" t="n">
        <v>7.29</v>
      </c>
      <c r="D126" s="7" t="n">
        <f>HYPERLINK("https://www.somogyi.sk/product/barbecook-bc-acc-7063-cistiaca-kefa-s-dvomi-hlavami-medena-hlavica-gumena-drevena-rukovat-bc-acc-7063-18727","https://www.somogyi.sk/product/barbecook-bc-acc-7063-cistiaca-kefa-s-dvomi-hlavami-medena-hlavica-gumena-drevena-rukovat-bc-acc-7063-18727")</f>
        <v>0.0</v>
      </c>
      <c r="E126" s="7" t="n">
        <f>HYPERLINK("https://www.somogyi.sk/data/img/product_main_images/small/18727.jpg","https://www.somogyi.sk/data/img/product_main_images/small/18727.jpg")</f>
        <v>0.0</v>
      </c>
      <c r="F126" s="2" t="inlineStr">
        <is>
          <t>5400269240578</t>
        </is>
      </c>
      <c r="G126" s="4" t="inlineStr">
        <is>
          <t>Trápia vás odolné nečistoty prilepené na grilovacom rošte? Dvojhlavová kefa na gril Barbecook BC-ACC-7063 je dokonalým riešením na rýchle a účinné čistenie grilovacích roštov, takže môžete stráviť viac času vychutnávaním grilovania a menej času čistením.
Táto špeciálna kefa na gril má dve hlavice vyrobené z mosadze a pripevnené na rukoväti z kaučukového dreva s označením FSC®, vďaka čomu dosiahnete dvojnásobnú účinnosť pri čistení grilovacích roštov. Medená hlavica je vynikajúca na odstraňovanie pripálených zvyškov bez ich poškodenia.
Rozmery kefy - 4,5 × 2 × 23 cm - sú kompaktné a ľahko sa s ňou manipuluje, čo zaručuje, že sa počas čistenia dostane do všetkých kútov. Pohodlná rukoväť ešte viac zvyšuje používateľský komfort, pretože umožňuje stabilné čistenie bez námahy.
Zbavte sa nečistôt na grilovacích roštoch rýchlo a účinne s dvojhlavou kefou na grilovanie Barbecook BC-ACC-7063.</t>
        </is>
      </c>
    </row>
    <row r="127">
      <c r="A127" s="3" t="inlineStr">
        <is>
          <t>BC-ACC-7027</t>
        </is>
      </c>
      <c r="B127" s="2" t="inlineStr">
        <is>
          <t>Barbecook BC-ACC-7027 army dvojfunkčná čistiaca kefa, nerezová oceľ, khaki zelená rukoväť</t>
        </is>
      </c>
      <c r="C127" s="1" t="n">
        <v>16.69</v>
      </c>
      <c r="D127" s="7" t="n">
        <f>HYPERLINK("https://www.somogyi.sk/product/barbecook-bc-acc-7027-army-dvojfunkcna-cistiaca-kefa-nerezova-ocel-khaki-zelena-rukovat-bc-acc-7027-18822","https://www.somogyi.sk/product/barbecook-bc-acc-7027-army-dvojfunkcna-cistiaca-kefa-nerezova-ocel-khaki-zelena-rukovat-bc-acc-7027-18822")</f>
        <v>0.0</v>
      </c>
      <c r="E127" s="7" t="n">
        <f>HYPERLINK("https://www.somogyi.sk/data/img/product_main_images/small/18822.jpg","https://www.somogyi.sk/data/img/product_main_images/small/18822.jpg")</f>
        <v>0.0</v>
      </c>
      <c r="F127" s="2" t="inlineStr">
        <is>
          <t>5400269202927</t>
        </is>
      </c>
      <c r="G127" s="4" t="inlineStr">
        <is>
          <t>Hľadáte dokonalý nástroj na najťažšiu úlohu po grilovaní - čistenie? Dvojfunkčná čistiaca kefa Barbecook BC-ACC-7027 Army Style je majstrom v čistení grilovacích roštov, má jedinečný vojenský štýl a praktický dizajn.
Rukoväť v zelenej farbe khaki poskytuje nielen pohodlné uchopenie, ale dodáva nástroju aj jedinečný vzhľad. Dvojfunkčná čistiaca kefa - ktorá kombinuje funkciu drhnutia a škrabania - účinne odstraňuje pripálené zvyšky a mastnotu z grilovacieho roštu, čím umožňuje rýchlo a dôkladne obnoviť pôvodný stav grilu. Čistiaca hlavica z nehrdzavejúcej ocele zaručuje dlhodobú odolnosť, zatiaľ čo ľahko čistiteľný dizajn zaručuje, že kefa bude vždy pripravená na ďalšie použitie.
Rozmery výrobku - 6 × 3 × 38 cm - sú ideálne na dosiahnutie každého zákutia vášho grilu bez toho, aby ste museli robiť kompromisy v oblasti pohodlia.
Vyberte si dvojfunkčnú čistiacu kefu Barbecook BC-ACC-7027 Army Style a udržujte svoj gril v bezchybnom stave s ľahkosťou a účinnosťou.</t>
        </is>
      </c>
    </row>
    <row r="128">
      <c r="A128" s="3" t="inlineStr">
        <is>
          <t>BC-ACC-7067</t>
        </is>
      </c>
      <c r="B128" s="2" t="inlineStr">
        <is>
          <t>Barbecook BC-ACC-7067 dlhá špirálová kefa, 52 cm, čierna</t>
        </is>
      </c>
      <c r="C128" s="1" t="n">
        <v>11.19</v>
      </c>
      <c r="D128" s="7" t="n">
        <f>HYPERLINK("https://www.somogyi.sk/product/barbecook-bc-acc-7067-dlha-spiralova-kefa-52-cm-cierna-bc-acc-7067-18738","https://www.somogyi.sk/product/barbecook-bc-acc-7067-dlha-spiralova-kefa-52-cm-cierna-bc-acc-7067-18738")</f>
        <v>0.0</v>
      </c>
      <c r="E128" s="7" t="n">
        <f>HYPERLINK("https://www.somogyi.sk/data/img/product_main_images/small/18738.jpg","https://www.somogyi.sk/data/img/product_main_images/small/18738.jpg")</f>
        <v>0.0</v>
      </c>
      <c r="F128" s="2" t="inlineStr">
        <is>
          <t>5400269231583</t>
        </is>
      </c>
      <c r="G128" s="4" t="inlineStr">
        <is>
          <t>Aj vy máte problém s čistením ťažko prístupných častí grilu? Dlhá špirálová kefa Barbecook BC-ACC-7067 je dokonalým pomocníkom na túto úlohu, vďaka ktorému už ani tie najťažšie dostupné miesta nebudú problémom.
Tento špeciálny čistiaci nástroj je špeciálne navrhnutý na čistenie hlboko zapustených častí vášho grilu. Špirálová kefa s dlhou rukoväťou vám umožní dostať sa do každého zákutia grilu, čím zaručí jeho kompletné vyčistenie. Veľkosť 52 × 17 × 3 cm zaručuje dôkladné vyčistenie všetkých povrchov.
Dizajn kefy optimalizuje úsilie pri čistení, takže môžete stráviť menej času čistením a viac času vychutnávaním pôžitkov z grilovania. Barbecook BC-ACC-7067 je nielen účinný, ale aj odolný, takže sa naň môžete spoľahnúť pri dlhodobej údržbe grilu.
Prejdite na dlhú špirálovú kefu Barbecook BC-ACC-7067 a uľahčite a zefektívnite si čistenie grilu.</t>
        </is>
      </c>
    </row>
    <row r="129">
      <c r="A129" s="6" t="inlineStr">
        <is>
          <t xml:space="preserve">      Grilovanie / Grilovacie príslušenstvo / Nástroje na údenie</t>
        </is>
      </c>
      <c r="B129" s="6" t="inlineStr">
        <is>
          <t/>
        </is>
      </c>
      <c r="C129" s="6" t="inlineStr">
        <is>
          <t/>
        </is>
      </c>
      <c r="D129" s="6" t="inlineStr">
        <is>
          <t/>
        </is>
      </c>
      <c r="E129" s="6" t="inlineStr">
        <is>
          <t/>
        </is>
      </c>
      <c r="F129" s="6" t="inlineStr">
        <is>
          <t/>
        </is>
      </c>
      <c r="G129" s="6" t="inlineStr">
        <is>
          <t/>
        </is>
      </c>
    </row>
    <row r="130">
      <c r="A130" s="3" t="inlineStr">
        <is>
          <t>BC-SMO-5019</t>
        </is>
      </c>
      <c r="B130" s="2" t="inlineStr">
        <is>
          <t>Udiarenský box Barbecook BC-SMO-5019</t>
        </is>
      </c>
      <c r="C130" s="1" t="n">
        <v>32.99</v>
      </c>
      <c r="D130" s="7" t="n">
        <f>HYPERLINK("https://www.somogyi.sk/product/udiarensky-box-barbecook-bc-smo-5019-bc-smo-5019-18845","https://www.somogyi.sk/product/udiarensky-box-barbecook-bc-smo-5019-bc-smo-5019-18845")</f>
        <v>0.0</v>
      </c>
      <c r="E130" s="7" t="n">
        <f>HYPERLINK("https://www.somogyi.sk/data/img/product_main_images/small/18845.jpg","https://www.somogyi.sk/data/img/product_main_images/small/18845.jpg")</f>
        <v>0.0</v>
      </c>
      <c r="F130" s="2" t="inlineStr">
        <is>
          <t>5400269240509</t>
        </is>
      </c>
      <c r="G130" s="4" t="inlineStr">
        <is>
          <t>Máte radi údené chute, ale ešte nechcete investovať do kompletnej udiarne? Potom je pre vás určený box na údenie Barbecook BC-SMO-5019! 
Udiaci box je kovová obdĺžniková nádoba s niekoľkými otvormi na veku. Box môžete naplniť údiacimi štiepkami a umiestniť ho do grilu. Dymová aróma cirkuluje a vytvára skutočné chuťové bomby!
Ako to funguje? Udiaci box sa používa s grilom, ktorý má veko. Veko zabezpečuje, že dym neuniká, ale cirkuluje vo vnútri grilu a dodáva jedlu dymovú chuť. Tá sa dosahuje nepriamou technikou grilovania. Ako presne to funguje? Najprv si vyberte dymovú príchuť, ktorú chcete jedlu dodať. To závisí od typu jedla, ktoré pripravujete na grile. Ak napríklad pripravujete ryby, ideálnou voľbou sú citrónové údené lupienky. Ak pripravujete chutné kurča, vyberte si dubové alebo jablkové údené lupienky. Je dôležité, aby ste údené lupienky pred vložením do údiarne najprv namočili do vody. Ak to neurobíte, dym môže mať horkú chuť. Vždy sa uistite, že údiace triesky sú dobre osušené. Ak sú príliš mokré, budú sa skôr dusiť ako dymiť. Teplo z grilu spôsobí, že drevo v údiacej škatuli začne dymiť a po približne 10 až 20 minútach sa z neho začne dymiť. Tento dym prechádza cez otvory vo veku a šíri sa vo vnútri grilu. Dym pomaly preniká do rôznych zložiek na grile. Nikdy neumiestňujte prísady priamo na údiaci box. Ak sa má jedlo dlhší čas nepriamo grilovať v rúre, môžete medzitým naplniť údiaci box údiacimi štiepkami. Tým sa zabezpečí nepretržitý vývoj dymu.
Udiaci box môžete používať s modelmi Barbecook Spring, Siesta a Stella. Všetky tieto plynové grily majú pod ľavým roštom vyhradený priestor, do ktorého môžete umiestniť udiarenský box.
Prečo sa uspokojiť len s grilovaním potravín? Dodajte pripravovaným pochúťkam jemnosť s údiacim boxom Barbecook.</t>
        </is>
      </c>
    </row>
    <row r="131">
      <c r="A131" s="3" t="inlineStr">
        <is>
          <t>BC-SMO-5021</t>
        </is>
      </c>
      <c r="B131" s="2" t="inlineStr">
        <is>
          <t>Barbecook BC-SMO-5021 generátor studeného dymu, na studené údenie, 18x18x5cm</t>
        </is>
      </c>
      <c r="C131" s="1" t="n">
        <v>34.39</v>
      </c>
      <c r="D131" s="7" t="n">
        <f>HYPERLINK("https://www.somogyi.sk/product/barbecook-bc-smo-5021-generator-studeneho-dymu-na-studene-udenie-18x18x5cm-bc-smo-5021-18773","https://www.somogyi.sk/product/barbecook-bc-smo-5021-generator-studeneho-dymu-na-studene-udenie-18x18x5cm-bc-smo-5021-18773")</f>
        <v>0.0</v>
      </c>
      <c r="E131" s="7" t="n">
        <f>HYPERLINK("https://www.somogyi.sk/data/img/product_main_images/small/18773.jpg","https://www.somogyi.sk/data/img/product_main_images/small/18773.jpg")</f>
        <v>0.0</v>
      </c>
      <c r="F131" s="2" t="inlineStr">
        <is>
          <t>5420059846643</t>
        </is>
      </c>
      <c r="G131" s="4" t="inlineStr">
        <is>
          <t>Chcete dodať svojej kuchyni špeciálnu príchuť? Preskúmajte nekonečné možnosti, ktoré ponúka generátor studeného dymu Barbecook BC-SMO-5021, majster lahodných údených chutí. 
Tento prístroj bol špeciálne navrhnutý pre tých, ktorí chcú v pohodlí domova pripravovať profesionálne údené pokrmy, ako je losos, morské plody alebo dokonca hovädzie a bravčové mäso. Pomocou techniky studeného údenia, ktoré sa vykonáva pri teplote 20 - 25 °C, dokáže tento generátor údiť až 13 hodín, čím zabezpečí, že vaše jedlo získa hlbokú údenú chuť bez straty vlhkosti alebo štruktúry. Generátor s rozmermi 18 × 18 × 5 cm má ideálnu veľkosť, ľahko sa plní a je ideálny na použitie so smaltovanou udiareň Barbecook BC-SMO-5017 Oskar S, čo zaručuje maximálny chuťový zážitok.
Pripravujte pokrmy plné úžasných chutí s generátorom studeného dymu Barbecook BC-SMO-5021, ktorý prináša nový rozmer údenia mäsa a prípravy údených pokrmov.</t>
        </is>
      </c>
    </row>
    <row r="132">
      <c r="A132" s="3" t="inlineStr">
        <is>
          <t>BC-SMO-7422</t>
        </is>
      </c>
      <c r="B132" s="2" t="inlineStr">
        <is>
          <t>Štartovacia súprava generátora studeného dymu Barbecook BC-SMO-7422</t>
        </is>
      </c>
      <c r="C132" s="1" t="n">
        <v>40.79</v>
      </c>
      <c r="D132" s="7" t="n">
        <f>HYPERLINK("https://www.somogyi.sk/product/startovacia-suprava-generatora-studeneho-dymu-barbecook-bc-smo-7422-bc-smo-7422-18784","https://www.somogyi.sk/product/startovacia-suprava-generatora-studeneho-dymu-barbecook-bc-smo-7422-bc-smo-7422-18784")</f>
        <v>0.0</v>
      </c>
      <c r="E132" s="7" t="n">
        <f>HYPERLINK("https://www.somogyi.sk/data/img/product_main_images/small/18784.jpg","https://www.somogyi.sk/data/img/product_main_images/small/18784.jpg")</f>
        <v>0.0</v>
      </c>
      <c r="F132" s="2" t="inlineStr">
        <is>
          <t>5420059857298</t>
        </is>
      </c>
      <c r="G132" s="4" t="inlineStr">
        <is>
          <t>Chcete pri domácom grilovaní experimentovať so špeciálnymi chuťami? So štartovacou súpravou generátora studeného dymu Barbecook BC-SMO-7422 môžete teraz ľahko priniesť lahodné údené chute priamo do vašej domácej kuchyne alebo záhrady. 
Táto štartovacia súprava obsahuje všetky potrebné nástroje a prísady, ktoré umožnia každému používať techniky studeného údenia, a to aj ako profesionál.
Súprava obsahuje generátor studeného dymu a tri rôzne druhy údiacich práškov: olivový, whisky a dubový, z ktorých každý dodá vašim pokrmom jedinečnú a výraznú chuť. Či už chcete údiť lososa, syr, mäso alebo zeleninu, tieto príchute vám určite pomôžu vytvoriť nezabudnuteľné pokrmy. Súprava obsahuje aj brožúru s receptami, ktorá vám pomôže dostať sa od prvých krokov k pokročilým technikám vo svete studeného údenia.
Súprava je dokonale kompatibilná so smaltovanou udiareň Barbecook BC-SMO-5017 Oskar S.
Urobte grilovanie vzrušujúcejším so štartovacou súpravou Barbecook BC-SMO-7422 Cold Smoke Generator a objavte radosť z domáceho údenia.</t>
        </is>
      </c>
    </row>
    <row r="133">
      <c r="A133" s="3" t="inlineStr">
        <is>
          <t>BC-SMO-5013</t>
        </is>
      </c>
      <c r="B133" s="2" t="inlineStr">
        <is>
          <t>Barbecook BC-SMO-5013 Sada 2 udiacich dosiek z jelšového dreva, 30x14x0,4cm</t>
        </is>
      </c>
      <c r="C133" s="1" t="n">
        <v>20.59</v>
      </c>
      <c r="D133" s="7" t="n">
        <f>HYPERLINK("https://www.somogyi.sk/product/barbecook-bc-smo-5013-sada-2-udiacich-dosiek-z-jelsoveho-dreva-30x14x0-4cm-bc-smo-5013-18844","https://www.somogyi.sk/product/barbecook-bc-smo-5013-sada-2-udiacich-dosiek-z-jelsoveho-dreva-30x14x0-4cm-bc-smo-5013-18844")</f>
        <v>0.0</v>
      </c>
      <c r="E133" s="7" t="n">
        <f>HYPERLINK("https://www.somogyi.sk/data/img/product_main_images/small/18844.jpg","https://www.somogyi.sk/data/img/product_main_images/small/18844.jpg")</f>
        <v>0.0</v>
      </c>
      <c r="F133" s="2" t="inlineStr">
        <is>
          <t>5400269209476</t>
        </is>
      </c>
      <c r="G133" s="4" t="inlineStr">
        <is>
          <t>Ste pripravení posunúť svoj zážitok z grilovania na novú úroveň? Objavte 2 ks súpravu na údenie jelšového dreva Barbecook BC-SMO-5013, ktorá vyčarí jemnú, ale charakteristickú dymovú chuť vašich pokrmov.
Či už ide o lososa, morské plody, hovädzie alebo bravčové mäso, táto súprava zaručene obohatí chuť vašich grilovaných pokrmov.
Udiarenské dosky z jelšového dreva Barbecook sú ideálne na dodanie jedinečnej, lahodnej dymovej chuti mäsu aj morským plodom pri grilovaní. Zvláštnosťou jelšového dreva je, že poskytuje miernu, ale výraznú dymovú arómu, ktorá neprekrýva prirodzenú chuť surovín, ale harmonicky ju dopĺňa.
Súprava obsahuje dve kvalitné jelšové dosky, ktorých rozmery sú ideálne na údenie rôznych druhov potravín. Každá doska má rozmery 30 × 14 × 0,4 cm, čo je ideálna veľkosť na väčšinu grilovacích roštov. Používanie je veľmi jednoduché: stačí dosky na niekoľko hodín namočiť do vody a potom ich umiestniť na gril s pripraveným jedlom. Dosky pomaly a rovnomerne vydávajú dym, ktorý dodáva jedlu chuť počas celej doby prípravy.
Používanie jelšových udiacich dosiek nielenže dodá mäsu a morským plodom nezabudnuteľnú chuť, ale zároveň posunie zážitok z grilovania na novú úroveň. Staňte sa majstrom kuchárom na najbližšej záhradnej párty a oslňte svojich hostí lahodnými údenými pokrmami z jelšových údiacich dosiek.
Vyskúšajte sadu na údenie z jelše Barbecook BC-SMO-5013 2ks a zistite, aké jednoduché je vykúzliť úžasné chute pod holým nebom.</t>
        </is>
      </c>
    </row>
    <row r="134">
      <c r="A134" s="6" t="inlineStr">
        <is>
          <t xml:space="preserve">      Chladenie / Klimatizácia / Klimatizácia</t>
        </is>
      </c>
      <c r="B134" s="6" t="inlineStr">
        <is>
          <t/>
        </is>
      </c>
      <c r="C134" s="6" t="inlineStr">
        <is>
          <t/>
        </is>
      </c>
      <c r="D134" s="6" t="inlineStr">
        <is>
          <t/>
        </is>
      </c>
      <c r="E134" s="6" t="inlineStr">
        <is>
          <t/>
        </is>
      </c>
      <c r="F134" s="6" t="inlineStr">
        <is>
          <t/>
        </is>
      </c>
      <c r="G134" s="6" t="inlineStr">
        <is>
          <t/>
        </is>
      </c>
    </row>
    <row r="135">
      <c r="A135" s="3" t="inlineStr">
        <is>
          <t>ACH 12000</t>
        </is>
      </c>
      <c r="B135" s="2" t="inlineStr">
        <is>
          <t>Mobilná klimatizácia</t>
        </is>
      </c>
      <c r="C135" s="1" t="n">
        <v>484.9</v>
      </c>
      <c r="D135" s="7" t="n">
        <f>HYPERLINK("https://www.somogyi.sk/product/mobilna-klimatizacia-ach-12000-18026","https://www.somogyi.sk/product/mobilna-klimatizacia-ach-12000-18026")</f>
        <v>0.0</v>
      </c>
      <c r="E135" s="7" t="n">
        <f>HYPERLINK("https://www.somogyi.sk/data/img/product_main_images/small/18026.jpg","https://www.somogyi.sk/data/img/product_main_images/small/18026.jpg")</f>
        <v>0.0</v>
      </c>
      <c r="F135" s="2" t="inlineStr">
        <is>
          <t>5999084960483</t>
        </is>
      </c>
      <c r="G135" s="4" t="inlineStr">
        <is>
          <t xml:space="preserve"> • kapacita chladenia: 3,5 kW / 12000 BTU/h 
 • vykurovací výkon: 3,3 kW / 12000 BTU/h 
 • typy prevádzok: 4 režimy: chladenie, ventilátor, odvlhčenie, kúrenie 
 • N/A: 26 m² 
 • wifi: áno (2,4 GHz) 
 • displej: digitálny 
 • časovač vypnutia: časovač za- a vypnutia (24 h) 
 •  
 • energetická trieda chladenie / kúrenie: A / A 
 • hlučnosť: 65 dB(A) 
 • napätie, frekvencia, fáza: 220-240 V~ / 50 Hz 
 • napájanie diaľkového ovládača: 2 x AAA (1,5 V) batéria (nie je príslušenstvom) 
 • prietok vzduchu: 450 m³ / h 
 • chladiace médium: R290 
 • rozmery: 44 x 82 x 35 cm 
 • hmotnosť: netto: 27 kg</t>
        </is>
      </c>
    </row>
    <row r="136">
      <c r="A136" s="6" t="inlineStr">
        <is>
          <t xml:space="preserve">      Chladenie / Klimatizácia / Príslušenstvo ku klimatizácii</t>
        </is>
      </c>
      <c r="B136" s="6" t="inlineStr">
        <is>
          <t/>
        </is>
      </c>
      <c r="C136" s="6" t="inlineStr">
        <is>
          <t/>
        </is>
      </c>
      <c r="D136" s="6" t="inlineStr">
        <is>
          <t/>
        </is>
      </c>
      <c r="E136" s="6" t="inlineStr">
        <is>
          <t/>
        </is>
      </c>
      <c r="F136" s="6" t="inlineStr">
        <is>
          <t/>
        </is>
      </c>
      <c r="G136" s="6" t="inlineStr">
        <is>
          <t/>
        </is>
      </c>
    </row>
    <row r="137">
      <c r="A137" s="3" t="inlineStr">
        <is>
          <t>WSL 4</t>
        </is>
      </c>
      <c r="B137" s="2" t="inlineStr">
        <is>
          <t>Izolácia do okna k mobilnej klimatizácii, 4 m</t>
        </is>
      </c>
      <c r="C137" s="1" t="n">
        <v>28.49</v>
      </c>
      <c r="D137" s="7" t="n">
        <f>HYPERLINK("https://www.somogyi.sk/product/izolacia-do-okna-k-mobilnej-klimatizacii-4-m-wsl-4-17704","https://www.somogyi.sk/product/izolacia-do-okna-k-mobilnej-klimatizacii-4-m-wsl-4-17704")</f>
        <v>0.0</v>
      </c>
      <c r="E137" s="7" t="n">
        <f>HYPERLINK("https://www.somogyi.sk/data/img/product_main_images/small/17704.jpg","https://www.somogyi.sk/data/img/product_main_images/small/17704.jpg")</f>
        <v>0.0</v>
      </c>
      <c r="F137" s="2" t="inlineStr">
        <is>
          <t>5999084957261</t>
        </is>
      </c>
      <c r="G137" s="4" t="inlineStr">
        <is>
          <t xml:space="preserve"> • pri otvorenom okne pomáha udržať studený vzduch vo vnútri a teplý vzduch vonku 
 • jednoduchá montáž so suchým zipsom 
 • montáž na každý sklápací a klasický typ okna 
 • vývod hadice cez suchý zips 
 • odolný materiál 
 • dĺžka: 4 m 
 • samolepiaci suchý zips je príslušenstvom 
 • výborné použitie s mobilnou klimatizáciou ACM 9000 a ACM 12000</t>
        </is>
      </c>
    </row>
    <row r="138">
      <c r="A138" s="6" t="inlineStr">
        <is>
          <t xml:space="preserve">   Chladenie / Ventilátor s parou</t>
        </is>
      </c>
      <c r="B138" s="6" t="inlineStr">
        <is>
          <t/>
        </is>
      </c>
      <c r="C138" s="6" t="inlineStr">
        <is>
          <t/>
        </is>
      </c>
      <c r="D138" s="6" t="inlineStr">
        <is>
          <t/>
        </is>
      </c>
      <c r="E138" s="6" t="inlineStr">
        <is>
          <t/>
        </is>
      </c>
      <c r="F138" s="6" t="inlineStr">
        <is>
          <t/>
        </is>
      </c>
      <c r="G138" s="6" t="inlineStr">
        <is>
          <t/>
        </is>
      </c>
    </row>
    <row r="139">
      <c r="A139" s="3" t="inlineStr">
        <is>
          <t>SFM43BK</t>
        </is>
      </c>
      <c r="B139" s="2" t="inlineStr">
        <is>
          <t>Ventilátor s parou, čierny, 75 W</t>
        </is>
      </c>
      <c r="C139" s="1" t="n">
        <v>91.49</v>
      </c>
      <c r="D139" s="7" t="n">
        <f>HYPERLINK("https://www.somogyi.sk/product/ventilator-s-parou-cierny-75-w-sfm43bk-18377","https://www.somogyi.sk/product/ventilator-s-parou-cierny-75-w-sfm43bk-18377")</f>
        <v>0.0</v>
      </c>
      <c r="E139" s="7" t="n">
        <f>HYPERLINK("https://www.somogyi.sk/data/img/product_main_images/small/18377.jpg","https://www.somogyi.sk/data/img/product_main_images/small/18377.jpg")</f>
        <v>0.0</v>
      </c>
      <c r="F139" s="2" t="inlineStr">
        <is>
          <t>5999084963958</t>
        </is>
      </c>
      <c r="G139" s="4" t="inlineStr">
        <is>
          <t xml:space="preserve"> • farba: čierna 
 • priemer vrtule: 40 cm 
 •  
 • oscilácia: zapínateľná oscilácia 
 • nastaviteľná uhol sklonu: áno 
 • stupne rozprašovania: 3 stupne zvlhčovania, možno použiť aj samostatne 
 • nádrž na vodu: 2,8 l 
 • časovač vypnutia: 0,5-7,5 h 
 • stupne rýchlosti: 3 
 • N/A: max. 37,92 m3/min 
 • N/A: max. 2,73 m/sec 
 • pojazdné kolieska: áno 
 • výkon: 75 W 
 • hlučnosť: 56,7 dB(A) 
 • napájanie: 220-240 V~ / 50-60 Hz 
 • napájanie diaľkového ovládača: 2 x 1,5V (AAA) batéria, nie je príslušenstvom 
 • rozmery: 430 x 1270 x 400 mm</t>
        </is>
      </c>
    </row>
    <row r="140">
      <c r="A140" s="6" t="inlineStr">
        <is>
          <t xml:space="preserve">   Chladenie / Ochladzovač vzduchu</t>
        </is>
      </c>
      <c r="B140" s="6" t="inlineStr">
        <is>
          <t/>
        </is>
      </c>
      <c r="C140" s="6" t="inlineStr">
        <is>
          <t/>
        </is>
      </c>
      <c r="D140" s="6" t="inlineStr">
        <is>
          <t/>
        </is>
      </c>
      <c r="E140" s="6" t="inlineStr">
        <is>
          <t/>
        </is>
      </c>
      <c r="F140" s="6" t="inlineStr">
        <is>
          <t/>
        </is>
      </c>
      <c r="G140" s="6" t="inlineStr">
        <is>
          <t/>
        </is>
      </c>
    </row>
    <row r="141">
      <c r="A141" s="3" t="inlineStr">
        <is>
          <t>LH 300</t>
        </is>
      </c>
      <c r="B141" s="2" t="inlineStr">
        <is>
          <t>Ochladzovač vzduchu, 80 W</t>
        </is>
      </c>
      <c r="C141" s="1" t="n">
        <v>59.89</v>
      </c>
      <c r="D141" s="7" t="n">
        <f>HYPERLINK("https://www.somogyi.sk/product/ochladzovac-vzduchu-80-w-lh-300-14420","https://www.somogyi.sk/product/ochladzovac-vzduchu-80-w-lh-300-14420")</f>
        <v>0.0</v>
      </c>
      <c r="E141" s="7" t="n">
        <f>HYPERLINK("https://www.somogyi.sk/data/img/product_main_images/small/14420.jpg","https://www.somogyi.sk/data/img/product_main_images/small/14420.jpg")</f>
        <v>0.0</v>
      </c>
      <c r="F141" s="2" t="inlineStr">
        <is>
          <t>5999084924683</t>
        </is>
      </c>
      <c r="G141" s="4" t="inlineStr">
        <is>
          <t xml:space="preserve"> • pohyb lamiel: zapínateľné oscilačné lamely 
 • funkcia: Zariadenie je možné použiť na osvieženie a chladenie uzavretých vzduchových priestorov. Z princípu jeho fungovania vyplýva, že nie je vhodný na výrazné znižovanie teploty v miestnosti. 
 • stupne rýchlosti: 3 
 • nádrž na vodu: 3 l 
 • odparovacia vložka: 1 ks je príslušenstvom (LH 300/T) 
 • hlučnosť: 65 dB(A) 
 • výkon: 80 W 
 • napájanie: 230 V~ / 50 Hz 
 • rozmery: 25 x 58 x 28 cm 
 • hmotnosť: prázdna hmotnosť: 4 kg 
 • príslušenstvo: 5 ľadových vložiek</t>
        </is>
      </c>
    </row>
    <row r="142">
      <c r="A142" s="3" t="inlineStr">
        <is>
          <t>LHP 400/T</t>
        </is>
      </c>
      <c r="B142" s="2" t="inlineStr">
        <is>
          <t>Vložka do LHP 400</t>
        </is>
      </c>
      <c r="C142" s="1" t="n">
        <v>4.29</v>
      </c>
      <c r="D142" s="7" t="n">
        <f>HYPERLINK("https://www.somogyi.sk/product/vlozka-do-lhp-400-lhp-400-t-16342","https://www.somogyi.sk/product/vlozka-do-lhp-400-lhp-400-t-16342")</f>
        <v>0.0</v>
      </c>
      <c r="E142" s="7" t="n">
        <f>HYPERLINK("https://www.somogyi.sk/data/img/product_main_images/small/16342.jpg","https://www.somogyi.sk/data/img/product_main_images/small/16342.jpg")</f>
        <v>0.0</v>
      </c>
      <c r="F142" s="2" t="inlineStr">
        <is>
          <t>5999084943745</t>
        </is>
      </c>
      <c r="G142" s="4" t="inlineStr">
        <is>
          <t xml:space="preserve"> • Odparovacia vložka do LHP 400</t>
        </is>
      </c>
    </row>
    <row r="143">
      <c r="A143" s="3" t="inlineStr">
        <is>
          <t>LH301</t>
        </is>
      </c>
      <c r="B143" s="2" t="inlineStr">
        <is>
          <t>Ochladzovač vzduchu, 80 W</t>
        </is>
      </c>
      <c r="C143" s="1" t="n">
        <v>52.29</v>
      </c>
      <c r="D143" s="7" t="n">
        <f>HYPERLINK("https://www.somogyi.sk/product/ochladzovac-vzduchu-80-w-lh301-18984","https://www.somogyi.sk/product/ochladzovac-vzduchu-80-w-lh301-18984")</f>
        <v>0.0</v>
      </c>
      <c r="E143" s="7" t="n">
        <f>HYPERLINK("https://www.somogyi.sk/data/img/product_main_images/small/18984.jpg","https://www.somogyi.sk/data/img/product_main_images/small/18984.jpg")</f>
        <v>0.0</v>
      </c>
      <c r="F143" s="2" t="inlineStr">
        <is>
          <t>5999084969783</t>
        </is>
      </c>
      <c r="G143" s="4" t="inlineStr">
        <is>
          <t xml:space="preserve"> • pohyb lamiel: zapínateľné oscilačné lamely 
 • funkcia: Zariadenie je možné použiť na osvieženie a chladenie vzduchu uzavretých priestorov. Z princípu fungovania vyplýva, že nie je vhodný na výrazné znižovanie teploty v miestnosti. 
 • stupne rýchlosti: 3 
 • nádrž na vodu: 3 l 
 • odparovacia vložka: 1 ks je príslušenstvom (LH 301/T) 
 • hlučnosť: 58,5 dB(A) 
 • výkon: 80 W 
 • napájanie: 220-240 V~ / 50-60 Hz 
 • rozmery: 25 x 58 x 28 cm 
 • príslušenstvo: 2 chladiace vložky (LH301A) sú príslušenstvom</t>
        </is>
      </c>
    </row>
    <row r="144">
      <c r="A144" s="3" t="inlineStr">
        <is>
          <t>LH 5</t>
        </is>
      </c>
      <c r="B144" s="2" t="inlineStr">
        <is>
          <t>Mini ochladzovač vzduchu</t>
        </is>
      </c>
      <c r="C144" s="1" t="n">
        <v>19.09</v>
      </c>
      <c r="D144" s="7" t="n">
        <f>HYPERLINK("https://www.somogyi.sk/product/mini-ochladzovac-vzduchu-lh-5-17801","https://www.somogyi.sk/product/mini-ochladzovac-vzduchu-lh-5-17801")</f>
        <v>0.0</v>
      </c>
      <c r="E144" s="7" t="n">
        <f>HYPERLINK("https://www.somogyi.sk/data/img/product_main_images/small/17801.jpg","https://www.somogyi.sk/data/img/product_main_images/small/17801.jpg")</f>
        <v>0.0</v>
      </c>
      <c r="F144" s="2" t="inlineStr">
        <is>
          <t>5999084958237</t>
        </is>
      </c>
      <c r="G144" s="4" t="inlineStr">
        <is>
          <t xml:space="preserve"> • evaporatívna chladiaca technológia 
 • jednoduchá výmena odparovacej vložky (LH 5/T) 
 • nastaviteľný prúd vzduchu: vodorovný alebo horný prúd vzduchu 
 • 300 ml nádrž na vodu s okienkom 
 • jednoduché plnenie nádrže na boku prístroja 
 • tlačidlá s mikrospínačom 
 • 3 stupne rýchlosti ventilátora 
 • biele LED kontrolky stupňa ventilátora 
 • príslušenstvo: USB – micro USB kábel 
 • napájanie: USB 5 V / 5 W 
 • rozmery: 13,7 x 14,1 x 18 cm</t>
        </is>
      </c>
    </row>
    <row r="145">
      <c r="A145" s="3" t="inlineStr">
        <is>
          <t>LH301T</t>
        </is>
      </c>
      <c r="B145" s="2" t="inlineStr">
        <is>
          <t>Odparovacia vložka do LH301</t>
        </is>
      </c>
      <c r="C145" s="1" t="n">
        <v>2.59</v>
      </c>
      <c r="D145" s="7" t="n">
        <f>HYPERLINK("https://www.somogyi.sk/product/odparovacia-vlozka-do-lh301-lh301t-19028","https://www.somogyi.sk/product/odparovacia-vlozka-do-lh301-lh301t-19028")</f>
        <v>0.0</v>
      </c>
      <c r="E145" s="7" t="n">
        <f>HYPERLINK("https://www.somogyi.sk/data/img/product_main_images/small/19028.jpg","https://www.somogyi.sk/data/img/product_main_images/small/19028.jpg")</f>
        <v>0.0</v>
      </c>
      <c r="F145" s="2" t="inlineStr">
        <is>
          <t>5999084970215</t>
        </is>
      </c>
      <c r="G145" s="4" t="inlineStr">
        <is>
          <t xml:space="preserve"> • Odparovacia vložka do LH 300</t>
        </is>
      </c>
    </row>
    <row r="146">
      <c r="A146" s="3" t="inlineStr">
        <is>
          <t>LH 5/T</t>
        </is>
      </c>
      <c r="B146" s="2" t="inlineStr">
        <is>
          <t>Vložka do LH 5</t>
        </is>
      </c>
      <c r="C146" s="1" t="n">
        <v>2.89</v>
      </c>
      <c r="D146" s="7" t="n">
        <f>HYPERLINK("https://www.somogyi.sk/product/vlozka-do-lh-5-lh-5-t-17802","https://www.somogyi.sk/product/vlozka-do-lh-5-lh-5-t-17802")</f>
        <v>0.0</v>
      </c>
      <c r="E146" s="7" t="n">
        <f>HYPERLINK("https://www.somogyi.sk/data/img/product_main_images/small/17802.jpg","https://www.somogyi.sk/data/img/product_main_images/small/17802.jpg")</f>
        <v>0.0</v>
      </c>
      <c r="F146" s="2" t="inlineStr">
        <is>
          <t>5999084958244</t>
        </is>
      </c>
      <c r="G146" s="4" t="inlineStr">
        <is>
          <t xml:space="preserve"> • zvlhčovacia vložka k LH 5</t>
        </is>
      </c>
    </row>
    <row r="147">
      <c r="A147" s="3" t="inlineStr">
        <is>
          <t>LHP400D</t>
        </is>
      </c>
      <c r="B147" s="2" t="inlineStr">
        <is>
          <t>Ochladzovač vzduchu s diaľkovým ovládačom, 80 W</t>
        </is>
      </c>
      <c r="C147" s="1" t="n">
        <v>56.99</v>
      </c>
      <c r="D147" s="7" t="n">
        <f>HYPERLINK("https://www.somogyi.sk/product/ochladzovac-vzduchu-s-dialkovym-ovladacom-80-w-lhp400d-18983","https://www.somogyi.sk/product/ochladzovac-vzduchu-s-dialkovym-ovladacom-80-w-lhp400d-18983")</f>
        <v>0.0</v>
      </c>
      <c r="E147" s="7" t="n">
        <f>HYPERLINK("https://www.somogyi.sk/data/img/product_main_images/small/18983.jpg","https://www.somogyi.sk/data/img/product_main_images/small/18983.jpg")</f>
        <v>0.0</v>
      </c>
      <c r="F147" s="2" t="inlineStr">
        <is>
          <t>5999084969776</t>
        </is>
      </c>
      <c r="G147" s="4" t="inlineStr">
        <is>
          <t xml:space="preserve"> • pohyb lamiel: zapínateľná oscilácia 
 • funkcia: Zariadenie je možné použiť na osvieženie a chladenie vzduchu uzavretých priestorov. Z princípu fungovania vyplýva, že nie je vhodný na výrazné znižovanie teploty v miestnosti. 
 • stupne rýchlosti: 3 
 • typy prevádzok: 3 režimy ventilátora: normálny, prirodzený vietor, sleep 
 • nádrž na vodu: 3,2 l 
 • časovač vypnutia: 0,5-15,5 h 
 •  
 • hlučnosť: 50,2 dB(A) 
 • výkon: 80 W 
 • dĺžka napájacieho kábla: ~145 cm 
 • napájanie: 220-240 V~ / 50-60 Hz 
 • napájanie diaľkového ovládača: 1 x 3 V (CR2025) gombíková batéria, je príslušenstvom 
 • rozmery: 21 x 53 x 24 cm</t>
        </is>
      </c>
    </row>
    <row r="148">
      <c r="A148" s="3" t="inlineStr">
        <is>
          <t>LHP400DT</t>
        </is>
      </c>
      <c r="B148" s="2" t="inlineStr">
        <is>
          <t>Odparovacia vložka do LHP400D</t>
        </is>
      </c>
      <c r="C148" s="1" t="n">
        <v>2.59</v>
      </c>
      <c r="D148" s="7" t="n">
        <f>HYPERLINK("https://www.somogyi.sk/product/odparovacia-vlozka-do-lhp400d-lhp400dt-18985","https://www.somogyi.sk/product/odparovacia-vlozka-do-lhp400d-lhp400dt-18985")</f>
        <v>0.0</v>
      </c>
      <c r="E148" s="7" t="n">
        <f>HYPERLINK("https://www.somogyi.sk/data/img/product_main_images/small/18985.jpg","https://www.somogyi.sk/data/img/product_main_images/small/18985.jpg")</f>
        <v>0.0</v>
      </c>
      <c r="F148" s="2" t="inlineStr">
        <is>
          <t>5999084969790</t>
        </is>
      </c>
      <c r="G148" s="4" t="inlineStr">
        <is>
          <t xml:space="preserve"> • Odparovacia vložka do LHP400D</t>
        </is>
      </c>
    </row>
    <row r="149">
      <c r="A149" s="3" t="inlineStr">
        <is>
          <t>LH 300/T</t>
        </is>
      </c>
      <c r="B149" s="2" t="inlineStr">
        <is>
          <t>Odparovacia vložka k ochladzovaču vzduchu LH 300</t>
        </is>
      </c>
      <c r="C149" s="1" t="n">
        <v>3.79</v>
      </c>
      <c r="D149" s="7" t="n">
        <f>HYPERLINK("https://www.somogyi.sk/product/odparovacia-vlozka-k-ochladzovacu-vzduchu-lh-300-lh-300-t-14596","https://www.somogyi.sk/product/odparovacia-vlozka-k-ochladzovacu-vzduchu-lh-300-lh-300-t-14596")</f>
        <v>0.0</v>
      </c>
      <c r="E149" s="7" t="n">
        <f>HYPERLINK("https://www.somogyi.sk/data/img/product_main_images/small/14596.jpg","https://www.somogyi.sk/data/img/product_main_images/small/14596.jpg")</f>
        <v>0.0</v>
      </c>
      <c r="F149" s="2" t="inlineStr">
        <is>
          <t>5999084926380</t>
        </is>
      </c>
      <c r="G149" s="4" t="inlineStr">
        <is>
          <t xml:space="preserve"> • Odparovacia vložka do LH 300</t>
        </is>
      </c>
    </row>
    <row r="150">
      <c r="A150" s="3" t="inlineStr">
        <is>
          <t>LH301A</t>
        </is>
      </c>
      <c r="B150" s="2" t="inlineStr">
        <is>
          <t>Chladiaca vložka do LH301, LHP400D (2 ks)</t>
        </is>
      </c>
      <c r="C150" s="1" t="n">
        <v>1.09</v>
      </c>
      <c r="D150" s="7" t="n">
        <f>HYPERLINK("https://www.somogyi.sk/product/chladiaca-vlozka-do-lh301-lhp400d-2-ks-lh301a-19034","https://www.somogyi.sk/product/chladiaca-vlozka-do-lh301-lhp400d-2-ks-lh301a-19034")</f>
        <v>0.0</v>
      </c>
      <c r="E150" s="7" t="n">
        <f>HYPERLINK("https://www.somogyi.sk/data/img/product_main_images/small/19034.jpg","https://www.somogyi.sk/data/img/product_main_images/small/19034.jpg")</f>
        <v>0.0</v>
      </c>
      <c r="F150" s="2" t="inlineStr">
        <is>
          <t>5999084970277</t>
        </is>
      </c>
      <c r="G150" s="4" t="inlineStr">
        <is>
          <t xml:space="preserve"> • Chladiaca vložka do LH301, LHP400D (2 ks)</t>
        </is>
      </c>
    </row>
    <row r="151">
      <c r="A151" s="3" t="inlineStr">
        <is>
          <t>LHP 800i</t>
        </is>
      </c>
      <c r="B151" s="2" t="inlineStr">
        <is>
          <t>Ochladzovač vzduchu s diaľkovým ovládačom a ionizátorom, 80 W</t>
        </is>
      </c>
      <c r="C151" s="1" t="n">
        <v>114.9</v>
      </c>
      <c r="D151" s="7" t="n">
        <f>HYPERLINK("https://www.somogyi.sk/product/ochladzovac-vzduchu-s-dialkovym-ovladacom-a-ionizatorom-80-w-lhp-800i-17258","https://www.somogyi.sk/product/ochladzovac-vzduchu-s-dialkovym-ovladacom-a-ionizatorom-80-w-lhp-800i-17258")</f>
        <v>0.0</v>
      </c>
      <c r="E151" s="7" t="n">
        <f>HYPERLINK("https://www.somogyi.sk/data/img/product_main_images/small/17258.jpg","https://www.somogyi.sk/data/img/product_main_images/small/17258.jpg")</f>
        <v>0.0</v>
      </c>
      <c r="F151" s="2" t="inlineStr">
        <is>
          <t>5999084952808</t>
        </is>
      </c>
      <c r="G151" s="4" t="inlineStr">
        <is>
          <t xml:space="preserve"> • ovládanie dotykovými tlačidlami a diaľkovým ovládačom 
 • zapínateľné ekologické ochladenie vzduchu odparovaním vody 
 • príslušenstvom sú 2 chladiace vložky 
 • zapínateľná funkcia ionizátora 
 • 3 stupne rýchlosti ventilátor 
 • 3 režimy ventilátora: normálny, prirodzený vietor, sleep režim 
 • zapínateľné otáčanie lamiel 
 • časovač vypnutia: 0,5-7,5 h 
 • jednoduché premiestnenie pomocou koliesok, brzda 
 • objem nádrže na vodu: 3 l 
 • vymeniteľná odparovacia vložka (LHP 800i/T) 
 • dĺžka kábla: 1,35 m 
 • napájanie: 230 V~ / 50 Hz / 80 W 
 • rozmery: 33,5 x 23,5 x 80,5 cm 
 • hmotnosť v prázdnom stave: 4,9 kg</t>
        </is>
      </c>
    </row>
    <row r="152">
      <c r="A152" s="3" t="inlineStr">
        <is>
          <t>LHP 800i/T</t>
        </is>
      </c>
      <c r="B152" s="2" t="inlineStr">
        <is>
          <t>Vložka do LHP 800i</t>
        </is>
      </c>
      <c r="C152" s="1" t="n">
        <v>4.99</v>
      </c>
      <c r="D152" s="7" t="n">
        <f>HYPERLINK("https://www.somogyi.sk/product/vlozka-do-lhp-800i-lhp-800i-t-17259","https://www.somogyi.sk/product/vlozka-do-lhp-800i-lhp-800i-t-17259")</f>
        <v>0.0</v>
      </c>
      <c r="E152" s="7" t="n">
        <f>HYPERLINK("https://www.somogyi.sk/data/img/product_main_images/small/17259.jpg","https://www.somogyi.sk/data/img/product_main_images/small/17259.jpg")</f>
        <v>0.0</v>
      </c>
      <c r="F152" s="2" t="inlineStr">
        <is>
          <t>5999084952815</t>
        </is>
      </c>
      <c r="G152" s="4" t="inlineStr">
        <is>
          <t xml:space="preserve"> • Vhodný do ochladzovača vzduchu LHP 800i ktorý distribuuje Somogyi Elektronic.</t>
        </is>
      </c>
    </row>
    <row r="153">
      <c r="A153" s="6" t="inlineStr">
        <is>
          <t xml:space="preserve">   Chladenie / Stĺpový ventilátor</t>
        </is>
      </c>
      <c r="B153" s="6" t="inlineStr">
        <is>
          <t/>
        </is>
      </c>
      <c r="C153" s="6" t="inlineStr">
        <is>
          <t/>
        </is>
      </c>
      <c r="D153" s="6" t="inlineStr">
        <is>
          <t/>
        </is>
      </c>
      <c r="E153" s="6" t="inlineStr">
        <is>
          <t/>
        </is>
      </c>
      <c r="F153" s="6" t="inlineStr">
        <is>
          <t/>
        </is>
      </c>
      <c r="G153" s="6" t="inlineStr">
        <is>
          <t/>
        </is>
      </c>
    </row>
    <row r="154">
      <c r="A154" s="3" t="inlineStr">
        <is>
          <t>TWFR 110</t>
        </is>
      </c>
      <c r="B154" s="2" t="inlineStr">
        <is>
          <t>Stĺpový ventilátor, biela, 110 cm, 45 W</t>
        </is>
      </c>
      <c r="C154" s="1" t="n">
        <v>80.99</v>
      </c>
      <c r="D154" s="7" t="n">
        <f>HYPERLINK("https://www.somogyi.sk/product/stlpovy-ventilator-biela-110-cm-45-w-twfr-110-16746","https://www.somogyi.sk/product/stlpovy-ventilator-biela-110-cm-45-w-twfr-110-16746")</f>
        <v>0.0</v>
      </c>
      <c r="E154" s="7" t="n">
        <f>HYPERLINK("https://www.somogyi.sk/data/img/product_main_images/small/16746.jpg","https://www.somogyi.sk/data/img/product_main_images/small/16746.jpg")</f>
        <v>0.0</v>
      </c>
      <c r="F154" s="2" t="inlineStr">
        <is>
          <t>5999084947781</t>
        </is>
      </c>
      <c r="G154" s="4" t="inlineStr">
        <is>
          <t xml:space="preserve"> • časovač vypnutia: 1-15 h 
 • stupne rýchlosti: 3 
 • výkon: 50 W 
 • hlučnosť: 57.3dB(A) 
 • oscilácia: zapínateľná oscilácia (50°) 
 • N/A: max. 2,7 m3/min 
 • N/A: max. 2 m/sec 
 • napájanie: 230 V~ / 50 Hz 
 • napájanie diaľkového ovládača: 2 x 1,5 V (AAА) 
 • rozmery: ∅17 x 112 cm / 3,8 kg 
 • dĺžka napájacieho kábla: 130 cm 
 • hmotnosť: 3,8 kg</t>
        </is>
      </c>
    </row>
    <row r="155">
      <c r="A155" s="3" t="inlineStr">
        <is>
          <t>TWFR100B</t>
        </is>
      </c>
      <c r="B155" s="2" t="inlineStr">
        <is>
          <t>Stĺpový ventilátor s diaľkovým ovládačom, čierna farba, 79 cm, 45 W</t>
        </is>
      </c>
      <c r="C155" s="1" t="n">
        <v>47.49</v>
      </c>
      <c r="D155" s="7" t="n">
        <f>HYPERLINK("https://www.somogyi.sk/product/stlpovy-ventilator-s-dialkovym-ovladacom-cierna-farba-79-cm-45-w-twfr100b-18987","https://www.somogyi.sk/product/stlpovy-ventilator-s-dialkovym-ovladacom-cierna-farba-79-cm-45-w-twfr100b-18987")</f>
        <v>0.0</v>
      </c>
      <c r="E155" s="7" t="n">
        <f>HYPERLINK("https://www.somogyi.sk/data/img/product_main_images/small/18987.jpg","https://www.somogyi.sk/data/img/product_main_images/small/18987.jpg")</f>
        <v>0.0</v>
      </c>
      <c r="F155" s="2" t="inlineStr">
        <is>
          <t>5999084969813</t>
        </is>
      </c>
      <c r="G155" s="4" t="inlineStr">
        <is>
          <t xml:space="preserve"> • časovač vypnutia: 0,5-7,5 h 
 • stupne rýchlosti: 3 
 • výkon: 45 W 
 • hlučnosť: 60,5 dB(A) 
 • oscilácia: zapínateľná oscilácia 
 • N/A: max. 3,1 m3/min 
 • N/A: max. 3,4 m/sec 
 • napájanie: 220-240 V~ / 50-60 Hz 
 • napájanie diaľkového ovládača: 1 x 3 V (CR2025) gombíková batéria, je príslušenstvom 
 • rozmery: 245 x 790 x 245 mm 
 • hmotnosť: 2,7 kg</t>
        </is>
      </c>
    </row>
    <row r="156">
      <c r="A156" s="3" t="inlineStr">
        <is>
          <t>TWFR78</t>
        </is>
      </c>
      <c r="B156" s="2" t="inlineStr">
        <is>
          <t>Stĺpový ventilátor s diaľkovým ovládačom, biela farba, 79 cm, 45 W</t>
        </is>
      </c>
      <c r="C156" s="1" t="n">
        <v>39.69</v>
      </c>
      <c r="D156" s="7" t="n">
        <f>HYPERLINK("https://www.somogyi.sk/product/stlpovy-ventilator-s-dialkovym-ovladacom-biela-farba-79-cm-45-w-twfr78-18986","https://www.somogyi.sk/product/stlpovy-ventilator-s-dialkovym-ovladacom-biela-farba-79-cm-45-w-twfr78-18986")</f>
        <v>0.0</v>
      </c>
      <c r="E156" s="7" t="n">
        <f>HYPERLINK("https://www.somogyi.sk/data/img/product_main_images/small/18986.jpg","https://www.somogyi.sk/data/img/product_main_images/small/18986.jpg")</f>
        <v>0.0</v>
      </c>
      <c r="F156" s="2" t="inlineStr">
        <is>
          <t>5999084969806</t>
        </is>
      </c>
      <c r="G156" s="4" t="inlineStr">
        <is>
          <t xml:space="preserve"> • časovač vypnutia: 1-12 h 
 • stupne rýchlosti: 3 
 • výkon: 45 W 
 • oscilácia: zapínateľná oscilácia 
 • N/A: max.3,1 m3/min 
 • N/A: max.3,4 m/sec 
 • napájanie: 220-240 V~ / 50-60 Hz 
 • napájanie diaľkového ovládača: 1 x 3 V (CR2025) gombíková batéria, je príslušenstvom 
 • rozmery: Ø215 x 780 mm 
 • dĺžka napájacieho kábla: ~140 cm 
 • hmotnosť: 2,3 kg</t>
        </is>
      </c>
    </row>
    <row r="157">
      <c r="A157" s="3" t="inlineStr">
        <is>
          <t>TWF822</t>
        </is>
      </c>
      <c r="B157" s="2" t="inlineStr">
        <is>
          <t>Stĺpový ventilátor, biela farba, 79 cm, 45 W</t>
        </is>
      </c>
      <c r="C157" s="1" t="n">
        <v>37.69</v>
      </c>
      <c r="D157" s="7" t="n">
        <f>HYPERLINK("https://www.somogyi.sk/product/stlpovy-ventilator-biela-farba-79-cm-45-w-twf822-18988","https://www.somogyi.sk/product/stlpovy-ventilator-biela-farba-79-cm-45-w-twf822-18988")</f>
        <v>0.0</v>
      </c>
      <c r="E157" s="7" t="n">
        <f>HYPERLINK("https://www.somogyi.sk/data/img/product_main_images/small/18988.jpg","https://www.somogyi.sk/data/img/product_main_images/small/18988.jpg")</f>
        <v>0.0</v>
      </c>
      <c r="F157" s="2" t="inlineStr">
        <is>
          <t>5999084969820</t>
        </is>
      </c>
      <c r="G157" s="4" t="inlineStr">
        <is>
          <t xml:space="preserve"> • stupne rýchlosti: 3 
 • výkon: 45 W 
 • hlučnosť: 60,5 dB(A) 
 • oscilácia: zapínateľná oscilácia 
 • N/A: max. 3,1 m3/min 
 • N/A: max. 3,4 m/sec 
 • napájanie: 220-240 V~ / 50-60 Hz 
 • rozmery: Ø280 x 790 mm 
 • dĺžka napájacieho kábla: ~150 cm 
 • hmotnosť: 2,75 kg</t>
        </is>
      </c>
    </row>
    <row r="158">
      <c r="A158" s="6" t="inlineStr">
        <is>
          <t xml:space="preserve">   Chladenie / Stojanový ventilátor</t>
        </is>
      </c>
      <c r="B158" s="6" t="inlineStr">
        <is>
          <t/>
        </is>
      </c>
      <c r="C158" s="6" t="inlineStr">
        <is>
          <t/>
        </is>
      </c>
      <c r="D158" s="6" t="inlineStr">
        <is>
          <t/>
        </is>
      </c>
      <c r="E158" s="6" t="inlineStr">
        <is>
          <t/>
        </is>
      </c>
      <c r="F158" s="6" t="inlineStr">
        <is>
          <t/>
        </is>
      </c>
      <c r="G158" s="6" t="inlineStr">
        <is>
          <t/>
        </is>
      </c>
    </row>
    <row r="159">
      <c r="A159" s="3" t="inlineStr">
        <is>
          <t>SFR88DC</t>
        </is>
      </c>
      <c r="B159" s="2" t="inlineStr">
        <is>
          <t>Stojanový ventilátor, DC motor, 18 cm, 50 W</t>
        </is>
      </c>
      <c r="C159" s="1" t="n">
        <v>74.19</v>
      </c>
      <c r="D159" s="7" t="n">
        <f>HYPERLINK("https://www.somogyi.sk/product/stojanovy-ventilator-dc-motor-18-cm-50-w-sfr88dc-18378","https://www.somogyi.sk/product/stojanovy-ventilator-dc-motor-18-cm-50-w-sfr88dc-18378")</f>
        <v>0.0</v>
      </c>
      <c r="E159" s="7" t="n">
        <f>HYPERLINK("https://www.somogyi.sk/data/img/product_main_images/small/18378.jpg","https://www.somogyi.sk/data/img/product_main_images/small/18378.jpg")</f>
        <v>0.0</v>
      </c>
      <c r="F159" s="2" t="inlineStr">
        <is>
          <t>5999084963965</t>
        </is>
      </c>
      <c r="G159" s="4" t="inlineStr">
        <is>
          <t xml:space="preserve"> • menovitý priemer vrtule: 18 cm 
 • ovládanie dotykovými tlačidlami alebo diaľkovým ovládačom 
 • DC motor, 12 stupňov rýchlosti 
 • možno zložiť do dvoch rôznych výšok (970 mm, 695 mm) 
 • režimy: normálny, prirodzený vietor, nočný 
 • nastaviteľné uhly sklonu hlavy: 30°, 60°, 90° 
 • nastaviteľná vodorovná a/alebo zvislá oscilácia 
 • biely LED displej, 3 minútové automatické vypnutie 
 • časovač za- alebo vypnutia: 1-15 h 
 • hlučnosť LWA=59,1 dB(A) 
 • napájanie diaľkového ovládača: 2 x 1,5 V (AAA) batéria, nie je príslušenstvom 
 • napájanie: 220-240 V~ 50-60 Hz 50 W</t>
        </is>
      </c>
    </row>
    <row r="160">
      <c r="A160" s="3" t="inlineStr">
        <is>
          <t>SFS 40</t>
        </is>
      </c>
      <c r="B160" s="2" t="inlineStr">
        <is>
          <t>Kovový stojanový ventilátor, 30 cm, 50 W, max. 1,2 m</t>
        </is>
      </c>
      <c r="C160" s="1" t="n">
        <v>65.79</v>
      </c>
      <c r="D160" s="7" t="n">
        <f>HYPERLINK("https://www.somogyi.sk/product/kovovy-stojanovy-ventilator-30-cm-50-w-max-1-2-m-sfs-40-15139","https://www.somogyi.sk/product/kovovy-stojanovy-ventilator-30-cm-50-w-max-1-2-m-sfs-40-15139")</f>
        <v>0.0</v>
      </c>
      <c r="E160" s="7" t="n">
        <f>HYPERLINK("https://www.somogyi.sk/data/img/product_main_images/small/15139.jpg","https://www.somogyi.sk/data/img/product_main_images/small/15139.jpg")</f>
        <v>0.0</v>
      </c>
      <c r="F160" s="2" t="inlineStr">
        <is>
          <t>5999084931735</t>
        </is>
      </c>
      <c r="G160" s="4" t="inlineStr">
        <is>
          <t xml:space="preserve"> • 40 cm priemer vrtule  
 • nastaviteľná výška (90-120 cm) 
 • regulovateľný výkon (3 stupne) 
 • zapnuteľná oscilácia (85°) 
 • nastaviteľný uhol sklonu (+/- 15°)  
 • kovové vrtule  
 • hlučnosť: LWA = 63 dB(A) 
 • napájanie: 230 V~ / 50 Hz / 50 W 
 • rozmery: 40 x 120 cm</t>
        </is>
      </c>
    </row>
    <row r="161">
      <c r="A161" s="3" t="inlineStr">
        <is>
          <t>SF40BK</t>
        </is>
      </c>
      <c r="B161" s="2" t="inlineStr">
        <is>
          <t>Stojanový ventilátor, čierna farba, 40 cm, 45 W</t>
        </is>
      </c>
      <c r="C161" s="1" t="n">
        <v>27.19</v>
      </c>
      <c r="D161" s="7" t="n">
        <f>HYPERLINK("https://www.somogyi.sk/product/stojanovy-ventilator-cierna-farba-40-cm-45-w-sf40bk-18990","https://www.somogyi.sk/product/stojanovy-ventilator-cierna-farba-40-cm-45-w-sf40bk-18990")</f>
        <v>0.0</v>
      </c>
      <c r="E161" s="7" t="n">
        <f>HYPERLINK("https://www.somogyi.sk/data/img/product_main_images/small/18990.jpg","https://www.somogyi.sk/data/img/product_main_images/small/18990.jpg")</f>
        <v>0.0</v>
      </c>
      <c r="F161" s="2" t="inlineStr">
        <is>
          <t>5999084969844</t>
        </is>
      </c>
      <c r="G161" s="4" t="inlineStr">
        <is>
          <t xml:space="preserve"> • priemer vrtule: 40 cm 
 • vrtule: plast 
 • nastaviteľná uhol sklonu: áno 
 • nastaviteľná výška: 103 – 125 cm 
 • oscilácia: zapínateľná oscilácia 
 • stupne rýchlosti: 3 
 • výkon: 45 W 
 • hlučnosť: 53,57 dB(A) 
 • N/A: max. 49,58 m3 
 • N/A: max. 2,60 m/sec 
 • napájanie: 220-240 V~ / 50-60 Hz 
 • dĺžka napájacieho kábla: ~165 cm 
 • rozmery: 62 x 62 x 125 cm 
 • hmotnosť: 2,5 kg 
 • farba: čierna</t>
        </is>
      </c>
    </row>
    <row r="162">
      <c r="A162" s="3" t="inlineStr">
        <is>
          <t>SFT40R</t>
        </is>
      </c>
      <c r="B162" s="2" t="inlineStr">
        <is>
          <t>Stojanový ventilátor 3in1, s diaľ. ovládačom, 40 cm, 60 W</t>
        </is>
      </c>
      <c r="C162" s="1" t="n">
        <v>59.69</v>
      </c>
      <c r="D162" s="7" t="n">
        <f>HYPERLINK("https://www.somogyi.sk/product/stojanovy-ventilator-3in1-s-dial-ovladacom-40-cm-60-w-sft40r-18403","https://www.somogyi.sk/product/stojanovy-ventilator-3in1-s-dial-ovladacom-40-cm-60-w-sft40r-18403")</f>
        <v>0.0</v>
      </c>
      <c r="E162" s="7" t="n">
        <f>HYPERLINK("https://www.somogyi.sk/data/img/product_main_images/small/18403.jpg","https://www.somogyi.sk/data/img/product_main_images/small/18403.jpg")</f>
        <v>0.0</v>
      </c>
      <c r="F162" s="2" t="inlineStr">
        <is>
          <t>5999084964214</t>
        </is>
      </c>
      <c r="G162" s="4" t="inlineStr">
        <is>
          <t xml:space="preserve"> • menovitý priemer vrtule: 40 cm 
 • ovládanie dotykovými tlačidlami a diaľkovým ovládačom 
 • možno zložiť do troch rôznych výšok (78/105/132 cm) 
 • 5 priesvitných lopatiek ventilátora 
 • nastaviteľný uhol sklonu hlavy 
 • biely LED displej, vypínateľný 
 • 4 stupne rýchlosti + nočná funkcia 
 • zapínateľná oscilácia 
 • časovač vypnutia:  1-9 h 
 • hlučnosť: LWA=62 dB(A) 
 • napájanie diaľkového ovládača: 1 x 3 V (CR2025) gombíková batéria, je príslušenstvom 
 • napájanie: 220-240 V~ 50-60 Hz 60 W</t>
        </is>
      </c>
    </row>
    <row r="163">
      <c r="A163" s="3" t="inlineStr">
        <is>
          <t>FS40-21M</t>
        </is>
      </c>
      <c r="B163" s="2" t="inlineStr">
        <is>
          <t>MIDEA stojanový ventilátor, biela, 40 cm, 40 W</t>
        </is>
      </c>
      <c r="C163" s="1" t="n">
        <v>29.59</v>
      </c>
      <c r="D163" s="7" t="n">
        <f>HYPERLINK("https://www.somogyi.sk/product/midea-stojanovy-ventilator-biela-40-cm-40-w-fs40-21m-19132","https://www.somogyi.sk/product/midea-stojanovy-ventilator-biela-40-cm-40-w-fs40-21m-19132")</f>
        <v>0.0</v>
      </c>
      <c r="E163" s="7" t="n">
        <f>HYPERLINK("https://www.somogyi.sk/data/img/product_main_images/small/19132.jpg","https://www.somogyi.sk/data/img/product_main_images/small/19132.jpg")</f>
        <v>0.0</v>
      </c>
      <c r="F163" s="2" t="inlineStr">
        <is>
          <t>6939924852607</t>
        </is>
      </c>
      <c r="G163" s="4"/>
    </row>
    <row r="164">
      <c r="A164" s="3" t="inlineStr">
        <is>
          <t>SF40WH</t>
        </is>
      </c>
      <c r="B164" s="2" t="inlineStr">
        <is>
          <t>Stojanový ventilátor, biela farba, 40 cm, 45 W</t>
        </is>
      </c>
      <c r="C164" s="1" t="n">
        <v>27.19</v>
      </c>
      <c r="D164" s="7" t="n">
        <f>HYPERLINK("https://www.somogyi.sk/product/stojanovy-ventilator-biela-farba-40-cm-45-w-sf40wh-18991","https://www.somogyi.sk/product/stojanovy-ventilator-biela-farba-40-cm-45-w-sf40wh-18991")</f>
        <v>0.0</v>
      </c>
      <c r="E164" s="7" t="n">
        <f>HYPERLINK("https://www.somogyi.sk/data/img/product_main_images/small/18991.jpg","https://www.somogyi.sk/data/img/product_main_images/small/18991.jpg")</f>
        <v>0.0</v>
      </c>
      <c r="F164" s="2" t="inlineStr">
        <is>
          <t>5999084969851</t>
        </is>
      </c>
      <c r="G164" s="4" t="inlineStr">
        <is>
          <t xml:space="preserve"> • priemer vrtule: 40 cm 
 • vrtule: plast 
 • nastaviteľná uhol sklonu: áno 
 • nastaviteľná výška: 103 – 125 cm 
 • oscilácia: zapínateľná oscilácia 
 • stupne rýchlosti: 3 
 • výkon: 45 W 
 • hlučnosť: 53,57 dB(A) 
 • N/A: max. 49,58 m3 
 • N/A: max. 2,60 m/sec 
 • napájanie: 220-240 V~ / 50-60 Hz 
 • dĺžka napájacieho kábla: ~165 cm 
 • rozmery: 62 x 62 x 125 cm 
 • hmotnosť: 2,5 kg 
 • farba: biela</t>
        </is>
      </c>
    </row>
    <row r="165">
      <c r="A165" s="3" t="inlineStr">
        <is>
          <t>SFP 40</t>
        </is>
      </c>
      <c r="B165" s="2" t="inlineStr">
        <is>
          <t>Stojanový ventilátor s diaľkovým ovládačom, 40cm, 45W</t>
        </is>
      </c>
      <c r="C165" s="1" t="n">
        <v>44.29</v>
      </c>
      <c r="D165" s="7" t="n">
        <f>HYPERLINK("https://www.somogyi.sk/product/stojanovy-ventilator-s-dialkovym-ovladacom-40cm-45w-sfp-40-9308","https://www.somogyi.sk/product/stojanovy-ventilator-s-dialkovym-ovladacom-40cm-45w-sfp-40-9308")</f>
        <v>0.0</v>
      </c>
      <c r="E165" s="7" t="n">
        <f>HYPERLINK("https://www.somogyi.sk/data/img/product_main_images/small/09308.jpg","https://www.somogyi.sk/data/img/product_main_images/small/09308.jpg")</f>
        <v>0.0</v>
      </c>
      <c r="F165" s="2" t="inlineStr">
        <is>
          <t>5998312781210</t>
        </is>
      </c>
      <c r="G165" s="4" t="inlineStr">
        <is>
          <t xml:space="preserve"> • priemer vrtule: 40 cm 
 • regulovateľný výkon (3 stupne) 
 • fixná poloha alebo možnosť oscilácie (90°) 
 • funkcia „vietor“ (2 stupne) 
 • časovač (30 minút – 7,5 hodín) 
 • všetky funkcie sa dajú diaľkovo ovládať  
 • nastaviteľná výška (110 - 130 cm) 
 • hlučnosť: 60 dB (A) 
 • napájanie diaľkového ovládača: 2 x AAA (1,5 V) nie ja súčasťou príslušenstva</t>
        </is>
      </c>
    </row>
    <row r="166">
      <c r="A166" s="6" t="inlineStr">
        <is>
          <t xml:space="preserve">   Chladenie / Stolný ventilátor</t>
        </is>
      </c>
      <c r="B166" s="6" t="inlineStr">
        <is>
          <t/>
        </is>
      </c>
      <c r="C166" s="6" t="inlineStr">
        <is>
          <t/>
        </is>
      </c>
      <c r="D166" s="6" t="inlineStr">
        <is>
          <t/>
        </is>
      </c>
      <c r="E166" s="6" t="inlineStr">
        <is>
          <t/>
        </is>
      </c>
      <c r="F166" s="6" t="inlineStr">
        <is>
          <t/>
        </is>
      </c>
      <c r="G166" s="6" t="inlineStr">
        <is>
          <t/>
        </is>
      </c>
    </row>
    <row r="167">
      <c r="A167" s="3" t="inlineStr">
        <is>
          <t>TF 10 USB</t>
        </is>
      </c>
      <c r="B167" s="2" t="inlineStr">
        <is>
          <t>Stolný USB ventilátor, 10 cm, čierna</t>
        </is>
      </c>
      <c r="C167" s="1" t="n">
        <v>6.09</v>
      </c>
      <c r="D167" s="7" t="n">
        <f>HYPERLINK("https://www.somogyi.sk/product/stolny-usb-ventilator-10-cm-cierna-tf-10-usb-15832","https://www.somogyi.sk/product/stolny-usb-ventilator-10-cm-cierna-tf-10-usb-15832")</f>
        <v>0.0</v>
      </c>
      <c r="E167" s="7" t="n">
        <f>HYPERLINK("https://www.somogyi.sk/data/img/product_main_images/small/15832.jpg","https://www.somogyi.sk/data/img/product_main_images/small/15832.jpg")</f>
        <v>0.0</v>
      </c>
      <c r="F167" s="2" t="inlineStr">
        <is>
          <t>5999084938666</t>
        </is>
      </c>
      <c r="G167" s="4" t="inlineStr">
        <is>
          <t xml:space="preserve"> • farba: čierna 
 • priemer vrtule: 10 cm 
 • vrtule: 4 priehľadné plastové lopatky 
 • stupne rýchlosti: 1 
 • rozmery: 14,5 x 15 x 9,5 cm 
 • dĺžka napájacieho kábla: 1,4 m USB kábel (je príslušenstvom)</t>
        </is>
      </c>
    </row>
    <row r="168">
      <c r="A168" s="3" t="inlineStr">
        <is>
          <t>TF 23 TURBO</t>
        </is>
      </c>
      <c r="B168" s="2" t="inlineStr">
        <is>
          <t>Stolný / nástenný ventilátor, 23 cm, biela</t>
        </is>
      </c>
      <c r="C168" s="1" t="n">
        <v>29.39</v>
      </c>
      <c r="D168" s="7" t="n">
        <f>HYPERLINK("https://www.somogyi.sk/product/stolny-nastenny-ventilator-23-cm-biela-tf-23-turbo-15831","https://www.somogyi.sk/product/stolny-nastenny-ventilator-23-cm-biela-tf-23-turbo-15831")</f>
        <v>0.0</v>
      </c>
      <c r="E168" s="7" t="n">
        <f>HYPERLINK("https://www.somogyi.sk/data/img/product_main_images/small/15831.jpg","https://www.somogyi.sk/data/img/product_main_images/small/15831.jpg")</f>
        <v>0.0</v>
      </c>
      <c r="F168" s="2" t="inlineStr">
        <is>
          <t>5999084938659</t>
        </is>
      </c>
      <c r="G168" s="4" t="inlineStr">
        <is>
          <t xml:space="preserve"> • priemer vrtule: 23 cm 
 • vrtule: plast 
 • stupne rýchlosti: 3 
 • výkon: 50 W 
 • charakteristiky: 2x vyššia rýchlosť vzduchu v porovnaní s ventilátorom TF 23 s rovnakým priemerom lopatiek predávaným spoločnosťou Somogyi Elektronic 
 • napájanie: 230 V~ / 50 Hz 
 • hlučnosť: 55,65 dB(A) 
 • N/A: max. 13,22 m /min 
 • N/A: max. 4,7 m/sec 
 • rozmery: 26 x 28 x 17 cm 
 • dĺžka napájacieho kábla: 1,3 m 
 • hmotnosť: 1,6 kg</t>
        </is>
      </c>
    </row>
    <row r="169">
      <c r="A169" s="3" t="inlineStr">
        <is>
          <t>CLF 10/BK</t>
        </is>
      </c>
      <c r="B169" s="2" t="inlineStr">
        <is>
          <t>Štipcový, akumulátorový ventilátor</t>
        </is>
      </c>
      <c r="C169" s="1" t="n">
        <v>9.39</v>
      </c>
      <c r="D169" s="7" t="n">
        <f>HYPERLINK("https://www.somogyi.sk/product/stipcovy-akumulatorovy-ventilator-clf-10-bk-17613","https://www.somogyi.sk/product/stipcovy-akumulatorovy-ventilator-clf-10-bk-17613")</f>
        <v>0.0</v>
      </c>
      <c r="E169" s="7" t="n">
        <f>HYPERLINK("https://www.somogyi.sk/data/img/product_main_images/small/17613.jpg","https://www.somogyi.sk/data/img/product_main_images/small/17613.jpg")</f>
        <v>0.0</v>
      </c>
      <c r="F169" s="2" t="inlineStr">
        <is>
          <t>5999084956356</t>
        </is>
      </c>
      <c r="G169" s="4" t="inlineStr">
        <is>
          <t xml:space="preserve"> • priemer vrtule: 10 cm 
 • vrtule: plast 
 • stupne rýchlosti: 3 
 •  
 • napájanie: 1800 mAh, Li-ion 18650 zabudovaný akumulátor, vymeniteľný 
 • hlučnosť: 50 dB(A) 
 • rozmery: 15 x 19 x 13 cm</t>
        </is>
      </c>
    </row>
    <row r="170">
      <c r="A170" s="3" t="inlineStr">
        <is>
          <t>TF30WH</t>
        </is>
      </c>
      <c r="B170" s="2" t="inlineStr">
        <is>
          <t>Stolný ventilátor, 30 cm, 40 W, biela farba</t>
        </is>
      </c>
      <c r="C170" s="1" t="n">
        <v>23.79</v>
      </c>
      <c r="D170" s="7" t="n">
        <f>HYPERLINK("https://www.somogyi.sk/product/stolny-ventilator-30-cm-40-w-biela-farba-tf30wh-18989","https://www.somogyi.sk/product/stolny-ventilator-30-cm-40-w-biela-farba-tf30wh-18989")</f>
        <v>0.0</v>
      </c>
      <c r="E170" s="7" t="n">
        <f>HYPERLINK("https://www.somogyi.sk/data/img/product_main_images/small/18989.jpg","https://www.somogyi.sk/data/img/product_main_images/small/18989.jpg")</f>
        <v>0.0</v>
      </c>
      <c r="F170" s="2" t="inlineStr">
        <is>
          <t>5999084969837</t>
        </is>
      </c>
      <c r="G170" s="4" t="inlineStr">
        <is>
          <t xml:space="preserve"> • priemer vrtule: 30 cm 
 • vrtule: plast 
 • nastaviteľná uhol sklonu: áno 
 • stupne rýchlosti: 3 
 • výkon: 40 W 
 • napájanie: 220-240 V~ / 50-60 Hz 
 • hlučnosť: LWA= 51,08 dB(A) 
 • N/A: max. 25,59 m3/min 
 • N/A: max. 2,00 m/sec 
 • rozmery: Ø35 x 47 x 25 cm 
 • dĺžka napájacieho kábla: ~165 cm 
 • hmotnosť: 1,65 kg</t>
        </is>
      </c>
    </row>
    <row r="171">
      <c r="A171" s="3" t="inlineStr">
        <is>
          <t>TF 10 USB/WH</t>
        </is>
      </c>
      <c r="B171" s="2" t="inlineStr">
        <is>
          <t>Stolný USB ventilátor, 10 cm, biela</t>
        </is>
      </c>
      <c r="C171" s="1" t="n">
        <v>6.09</v>
      </c>
      <c r="D171" s="7" t="n">
        <f>HYPERLINK("https://www.somogyi.sk/product/stolny-usb-ventilator-10-cm-biela-tf-10-usb-wh-16304","https://www.somogyi.sk/product/stolny-usb-ventilator-10-cm-biela-tf-10-usb-wh-16304")</f>
        <v>0.0</v>
      </c>
      <c r="E171" s="7" t="n">
        <f>HYPERLINK("https://www.somogyi.sk/data/img/product_main_images/small/16304.jpg","https://www.somogyi.sk/data/img/product_main_images/small/16304.jpg")</f>
        <v>0.0</v>
      </c>
      <c r="F171" s="2" t="inlineStr">
        <is>
          <t>5999084943363</t>
        </is>
      </c>
      <c r="G171" s="4" t="inlineStr">
        <is>
          <t xml:space="preserve"> • farba: biela 
 • priemer vrtule: 10 cm 
 • vrtule: 4 priehľadné plastové lopatky 
 • stupne rýchlosti: 1 
 • rozmery: 14,5 x 15 x 9,5 cm 
 • dĺžka napájacieho kábla: 1,4 m USB kábel (je príslušenstvom)</t>
        </is>
      </c>
    </row>
    <row r="172">
      <c r="A172" s="6" t="inlineStr">
        <is>
          <t xml:space="preserve">   Chladenie / Podlahový ventilátor</t>
        </is>
      </c>
      <c r="B172" s="6" t="inlineStr">
        <is>
          <t/>
        </is>
      </c>
      <c r="C172" s="6" t="inlineStr">
        <is>
          <t/>
        </is>
      </c>
      <c r="D172" s="6" t="inlineStr">
        <is>
          <t/>
        </is>
      </c>
      <c r="E172" s="6" t="inlineStr">
        <is>
          <t/>
        </is>
      </c>
      <c r="F172" s="6" t="inlineStr">
        <is>
          <t/>
        </is>
      </c>
      <c r="G172" s="6" t="inlineStr">
        <is>
          <t/>
        </is>
      </c>
    </row>
    <row r="173">
      <c r="A173" s="3" t="inlineStr">
        <is>
          <t>PVR 50</t>
        </is>
      </c>
      <c r="B173" s="2" t="inlineStr">
        <is>
          <t>Podlahový ventilátor, 50cm, 120W</t>
        </is>
      </c>
      <c r="C173" s="1" t="n">
        <v>62.59</v>
      </c>
      <c r="D173" s="7" t="n">
        <f>HYPERLINK("https://www.somogyi.sk/product/podlahovy-ventilator-50cm-120w-pvr-50-13348","https://www.somogyi.sk/product/podlahovy-ventilator-50cm-120w-pvr-50-13348")</f>
        <v>0.0</v>
      </c>
      <c r="E173" s="7" t="n">
        <f>HYPERLINK("https://www.somogyi.sk/data/img/product_main_images/small/13348.jpg","https://www.somogyi.sk/data/img/product_main_images/small/13348.jpg")</f>
        <v>0.0</v>
      </c>
      <c r="F173" s="2" t="inlineStr">
        <is>
          <t>5999084914349</t>
        </is>
      </c>
      <c r="G173" s="4" t="inlineStr">
        <is>
          <t xml:space="preserve"> • priemer vrtule: 50 cm 
 • nastaviteľná uhol sklonu: 90° 
 • stupne rýchlosti: 3 
 • výkon: 120 W 
 •  
 • dĺžka napájacieho kábla: 1,6 m 
 • napájanie: 230 V~ / 50 Hz 
 • rozmery: 60 x 58 x 25 cm 
 • hmotnosť: 5,2 kg</t>
        </is>
      </c>
    </row>
    <row r="174">
      <c r="A174" s="3" t="inlineStr">
        <is>
          <t>PVR 35</t>
        </is>
      </c>
      <c r="B174" s="2" t="inlineStr">
        <is>
          <t>Podlahový ventilátor, 35 cm, 60 W</t>
        </is>
      </c>
      <c r="C174" s="1" t="n">
        <v>40.39</v>
      </c>
      <c r="D174" s="7" t="n">
        <f>HYPERLINK("https://www.somogyi.sk/product/podlahovy-ventilator-35-cm-60-w-pvr-35-7405","https://www.somogyi.sk/product/podlahovy-ventilator-35-cm-60-w-pvr-35-7405")</f>
        <v>0.0</v>
      </c>
      <c r="E174" s="7" t="n">
        <f>HYPERLINK("https://www.somogyi.sk/data/img/product_main_images/small/07405.jpg","https://www.somogyi.sk/data/img/product_main_images/small/07405.jpg")</f>
        <v>0.0</v>
      </c>
      <c r="F174" s="2" t="inlineStr">
        <is>
          <t>5998312763940</t>
        </is>
      </c>
      <c r="G174" s="4" t="inlineStr">
        <is>
          <t xml:space="preserve"> • priemer vrtule: 35 cm 
 • nastaviteľná uhol sklonu: 90° 
 • stupne rýchlosti: 3 
 • výkon: 60 W 
 • hlučnosť: 55 dB(A) 
 • dĺžka napájacieho kábla: 1,6 m 
 • napájanie: 230 V~ / 50 Hz 
 • rozmery: 46 x 46 x 20 cm 
 • hmotnosť: 2,6 kg</t>
        </is>
      </c>
    </row>
    <row r="175">
      <c r="A175" s="6" t="inlineStr">
        <is>
          <t xml:space="preserve">   Chladenie / Stropný ventilátor</t>
        </is>
      </c>
      <c r="B175" s="6" t="inlineStr">
        <is>
          <t/>
        </is>
      </c>
      <c r="C175" s="6" t="inlineStr">
        <is>
          <t/>
        </is>
      </c>
      <c r="D175" s="6" t="inlineStr">
        <is>
          <t/>
        </is>
      </c>
      <c r="E175" s="6" t="inlineStr">
        <is>
          <t/>
        </is>
      </c>
      <c r="F175" s="6" t="inlineStr">
        <is>
          <t/>
        </is>
      </c>
      <c r="G175" s="6" t="inlineStr">
        <is>
          <t/>
        </is>
      </c>
    </row>
    <row r="176">
      <c r="A176" s="3" t="inlineStr">
        <is>
          <t>WFM 2</t>
        </is>
      </c>
      <c r="B176" s="2" t="inlineStr">
        <is>
          <t>Nástenný ventilátor</t>
        </is>
      </c>
      <c r="C176" s="1" t="n">
        <v>44.79</v>
      </c>
      <c r="D176" s="7" t="n">
        <f>HYPERLINK("https://www.somogyi.sk/product/nastenny-ventilator-wfm-2-18025","https://www.somogyi.sk/product/nastenny-ventilator-wfm-2-18025")</f>
        <v>0.0</v>
      </c>
      <c r="E176" s="7" t="n">
        <f>HYPERLINK("https://www.somogyi.sk/data/img/product_main_images/small/18025.jpg","https://www.somogyi.sk/data/img/product_main_images/small/18025.jpg")</f>
        <v>0.0</v>
      </c>
      <c r="F176" s="2" t="inlineStr">
        <is>
          <t>5999084960476</t>
        </is>
      </c>
      <c r="G176" s="4" t="inlineStr">
        <is>
          <t xml:space="preserve"> • farba: biela 
 • priemer vrtule: 18 cm 
 • vrtule: plast 
 • nastaviteľná uhol sklonu: áno 
 • stupne rýchlosti: 3 
 • výkon: 30 W 
 • hlučnosť: LWA= 47,5 dB(A) 
 • N/A: max. F = 13,2 m3/min 
 • N/A: max. c = 4,1 m/sec 
 • napájanie: 220 - 240 V~ / 50 Hz 
 • rozmery: 26 x 38,8 x 35 cm</t>
        </is>
      </c>
    </row>
    <row r="177">
      <c r="A177" s="6" t="inlineStr">
        <is>
          <t xml:space="preserve">   Chladenie / Ručný ventilátor</t>
        </is>
      </c>
      <c r="B177" s="6" t="inlineStr">
        <is>
          <t/>
        </is>
      </c>
      <c r="C177" s="6" t="inlineStr">
        <is>
          <t/>
        </is>
      </c>
      <c r="D177" s="6" t="inlineStr">
        <is>
          <t/>
        </is>
      </c>
      <c r="E177" s="6" t="inlineStr">
        <is>
          <t/>
        </is>
      </c>
      <c r="F177" s="6" t="inlineStr">
        <is>
          <t/>
        </is>
      </c>
      <c r="G177" s="6" t="inlineStr">
        <is>
          <t/>
        </is>
      </c>
    </row>
    <row r="178">
      <c r="A178" s="3" t="inlineStr">
        <is>
          <t>HF 9/WH</t>
        </is>
      </c>
      <c r="B178" s="2" t="inlineStr">
        <is>
          <t>Ručný, nabíjateľný ventilátor, 9 cm, biela farba</t>
        </is>
      </c>
      <c r="C178" s="1" t="n">
        <v>9.79</v>
      </c>
      <c r="D178" s="7" t="n">
        <f>HYPERLINK("https://www.somogyi.sk/product/rucny-nabijatelny-ventilator-9-cm-biela-farba-hf-9-wh-16387","https://www.somogyi.sk/product/rucny-nabijatelny-ventilator-9-cm-biela-farba-hf-9-wh-16387")</f>
        <v>0.0</v>
      </c>
      <c r="E178" s="7" t="n">
        <f>HYPERLINK("https://www.somogyi.sk/data/img/product_main_images/small/16387.jpg","https://www.somogyi.sk/data/img/product_main_images/small/16387.jpg")</f>
        <v>0.0</v>
      </c>
      <c r="F178" s="2" t="inlineStr">
        <is>
          <t>5999084944193</t>
        </is>
      </c>
      <c r="G178" s="4" t="inlineStr">
        <is>
          <t xml:space="preserve"> • farba: biela 
 • priemer vrtule: 9 cm 
 • vrtule: plast 
 • stupne rýchlosti: 3 
 • doba prevádzky / nabíjania: 1,5-5 h / 3-5 h 
 • výkon: 4 W 
 • hlučnosť: 56 dB(A) 
 • napájanie: zabudovaný akumulátor(Li-ion 18650 / 3,7 V / 1200 mAh) 
 • rozmery: 10,5 x 22 x 6,5 cm</t>
        </is>
      </c>
    </row>
    <row r="179">
      <c r="A179" s="6" t="inlineStr">
        <is>
          <t xml:space="preserve">   Odpudzovač hmyzu a hlodavcov / Lapač hmyzu</t>
        </is>
      </c>
      <c r="B179" s="6" t="inlineStr">
        <is>
          <t/>
        </is>
      </c>
      <c r="C179" s="6" t="inlineStr">
        <is>
          <t/>
        </is>
      </c>
      <c r="D179" s="6" t="inlineStr">
        <is>
          <t/>
        </is>
      </c>
      <c r="E179" s="6" t="inlineStr">
        <is>
          <t/>
        </is>
      </c>
      <c r="F179" s="6" t="inlineStr">
        <is>
          <t/>
        </is>
      </c>
      <c r="G179" s="6" t="inlineStr">
        <is>
          <t/>
        </is>
      </c>
    </row>
    <row r="180">
      <c r="A180" s="3" t="inlineStr">
        <is>
          <t>IKF 40</t>
        </is>
      </c>
      <c r="B180" s="2" t="inlineStr">
        <is>
          <t>Elektrický ventilátorový lapač hmyzu, 12 W</t>
        </is>
      </c>
      <c r="C180" s="1" t="n">
        <v>26.69</v>
      </c>
      <c r="D180" s="7" t="n">
        <f>HYPERLINK("https://www.somogyi.sk/product/elektricky-ventilatorovy-lapac-hmyzu-12-w-ikf-40-17591","https://www.somogyi.sk/product/elektricky-ventilatorovy-lapac-hmyzu-12-w-ikf-40-17591")</f>
        <v>0.0</v>
      </c>
      <c r="E180" s="7" t="n">
        <f>HYPERLINK("https://www.somogyi.sk/data/img/product_main_images/small/17591.jpg","https://www.somogyi.sk/data/img/product_main_images/small/17591.jpg")</f>
        <v>0.0</v>
      </c>
      <c r="F180" s="2" t="inlineStr">
        <is>
          <t>5999084956134</t>
        </is>
      </c>
      <c r="G180" s="4" t="inlineStr">
        <is>
          <t xml:space="preserve"> • dosah: max. 40 m² 
 • výkon: 12 W 
 • IP stupeň ochrany: IP20 (žiadna ochrana pred vniknutím vody) 
 • závesné: áno 
 • možnosť umiestniť na rovnú plochu: áno 
 • napájanie: 230 V~ / 50 Hz 
 • rozmery: ∅17,5 x 25 cm</t>
        </is>
      </c>
    </row>
    <row r="181">
      <c r="A181" s="3" t="inlineStr">
        <is>
          <t>T8 F18W BL</t>
        </is>
      </c>
      <c r="B181" s="2" t="inlineStr">
        <is>
          <t>Náhradná žiarivka k IKM 150</t>
        </is>
      </c>
      <c r="C181" s="1" t="n">
        <v>4.79</v>
      </c>
      <c r="D181" s="7" t="n">
        <f>HYPERLINK("https://www.somogyi.sk/product/nahradna-ziarivka-k-ikm-150-t8-f18w-bl-16348","https://www.somogyi.sk/product/nahradna-ziarivka-k-ikm-150-t8-f18w-bl-16348")</f>
        <v>0.0</v>
      </c>
      <c r="E181" s="7" t="n">
        <f>HYPERLINK("https://www.somogyi.sk/data/img/product_main_images/small/16348.jpg","https://www.somogyi.sk/data/img/product_main_images/small/16348.jpg")</f>
        <v>0.0</v>
      </c>
      <c r="F181" s="2" t="inlineStr">
        <is>
          <t>5999084943806</t>
        </is>
      </c>
      <c r="G181" s="4" t="inlineStr">
        <is>
          <t xml:space="preserve"> • výkon: 18 W 
 • N/A: 365 - 400 nm, UV-A 
 • napájanie: 230 V~ 
 • rozmery: Ø26,35 x 587 / 602,5 mm 
 • ďalšie informácie: náhradná žiarivka k IKM 150</t>
        </is>
      </c>
    </row>
    <row r="182">
      <c r="A182" s="3" t="inlineStr">
        <is>
          <t>IK 240</t>
        </is>
      </c>
      <c r="B182" s="2" t="inlineStr">
        <is>
          <t>Vnútorný elektrický lapač hmyzu</t>
        </is>
      </c>
      <c r="C182" s="1" t="n">
        <v>15.69</v>
      </c>
      <c r="D182" s="7" t="n">
        <f>HYPERLINK("https://www.somogyi.sk/product/vnutorny-elektricky-lapac-hmyzu-ik-240-14418","https://www.somogyi.sk/product/vnutorny-elektricky-lapac-hmyzu-ik-240-14418")</f>
        <v>0.0</v>
      </c>
      <c r="E182" s="7" t="n">
        <f>HYPERLINK("https://www.somogyi.sk/data/img/product_main_images/small/14418.jpg","https://www.somogyi.sk/data/img/product_main_images/small/14418.jpg")</f>
        <v>0.0</v>
      </c>
      <c r="F182" s="2" t="inlineStr">
        <is>
          <t>5999084924669</t>
        </is>
      </c>
      <c r="G182" s="4" t="inlineStr">
        <is>
          <t xml:space="preserve"> • dosah: 30 m² 
 • výkon: 6 W 
 • zachytávacia miska: áno 
 • IP stupeň ochrany: IP 20 
 • závesné: áno 
 • možnosť umiestniť na rovnú plochu: áno 
 • umiestnenie na stenu: nie 
 • dĺžka napájacieho kábla: 1,2 m 
 • napájanie: 230 V~  / 50 Hz 
 • rozmery: 13,5 x 13,5 x 32,5 cm 
 • hmotnosť: 0,78 kg 
 • ďalšie informácie: Zabudované svietidlo je určené na hubenie hmyzu, nie je vhodné na osvetlenie domácnosti!</t>
        </is>
      </c>
    </row>
    <row r="183">
      <c r="A183" s="3" t="inlineStr">
        <is>
          <t>IK 260</t>
        </is>
      </c>
      <c r="B183" s="2" t="inlineStr">
        <is>
          <t>Elektrický lapač hmyzu, 18 W</t>
        </is>
      </c>
      <c r="C183" s="1" t="n">
        <v>21.39</v>
      </c>
      <c r="D183" s="7" t="n">
        <f>HYPERLINK("https://www.somogyi.sk/product/elektricky-lapac-hmyzu-18-w-ik-260-17590","https://www.somogyi.sk/product/elektricky-lapac-hmyzu-18-w-ik-260-17590")</f>
        <v>0.0</v>
      </c>
      <c r="E183" s="7" t="n">
        <f>HYPERLINK("https://www.somogyi.sk/data/img/product_main_images/small/17590.jpg","https://www.somogyi.sk/data/img/product_main_images/small/17590.jpg")</f>
        <v>0.0</v>
      </c>
      <c r="F183" s="2" t="inlineStr">
        <is>
          <t>5999084956127</t>
        </is>
      </c>
      <c r="G183" s="4" t="inlineStr">
        <is>
          <t xml:space="preserve"> • dosah: max. 50 m² 
 • výkon: 18 W 
 • zachytávacia miska: áno 
 • IP stupeň ochrany: IP20 (žiadna ochrana pred vniknutím vody) 
 • závesné: áno 
 • možnosť umiestniť na rovnú plochu: áno 
 • napájanie: 230 V~ / 50 Hz 
 • rozmery: ∅12,5 x 32 cm 
 • ďalšie informácie: ohňovzdorný, nárazuvzdorný plast z materiálu ABS / fialové UV-A svetlo / UV-A žiarivka: E27 2U-BL F18W, 1 x 18 W (nedá sa doma vymeniť)</t>
        </is>
      </c>
    </row>
    <row r="184">
      <c r="A184" s="3" t="inlineStr">
        <is>
          <t>IK 250</t>
        </is>
      </c>
      <c r="B184" s="2" t="inlineStr">
        <is>
          <t>Elektrický lapač hmyzu, 11 W</t>
        </is>
      </c>
      <c r="C184" s="1" t="n">
        <v>16.79</v>
      </c>
      <c r="D184" s="7" t="n">
        <f>HYPERLINK("https://www.somogyi.sk/product/elektricky-lapac-hmyzu-11-w-ik-250-17589","https://www.somogyi.sk/product/elektricky-lapac-hmyzu-11-w-ik-250-17589")</f>
        <v>0.0</v>
      </c>
      <c r="E184" s="7" t="n">
        <f>HYPERLINK("https://www.somogyi.sk/data/img/product_main_images/small/17589.jpg","https://www.somogyi.sk/data/img/product_main_images/small/17589.jpg")</f>
        <v>0.0</v>
      </c>
      <c r="F184" s="2" t="inlineStr">
        <is>
          <t>5999084956110</t>
        </is>
      </c>
      <c r="G184" s="4" t="inlineStr">
        <is>
          <t xml:space="preserve"> • dosah: max. 40 m² 
 • výkon: 11 W 
 • zachytávacia miska: áno 
 • IP stupeň ochrany: IP20 (žiadna ochrana pred vniknutím vody) 
 • závesné: áno 
 • možnosť umiestniť na rovnú plochu: áno 
 • napájanie: 230 V~ / 50 Hz 
 • rozmery: 11,5 x 30 x 10 cm 
 • ďalšie informácie: ohňovzdorný, nárazuvzdorný plast z materiálu ABS / fialové UV-A svetlo / UV-A žiarivka: G23 BL PL F11W, 1 x 11 W (nedá sa doma vymeniť)</t>
        </is>
      </c>
    </row>
    <row r="185">
      <c r="A185" s="3" t="inlineStr">
        <is>
          <t>T5 F8W BL</t>
        </is>
      </c>
      <c r="B185" s="2" t="inlineStr">
        <is>
          <t>UV-A žiarivka, T5, 230 V~, 8 W, 365-400  nm</t>
        </is>
      </c>
      <c r="C185" s="1" t="n">
        <v>3.49</v>
      </c>
      <c r="D185" s="7" t="n">
        <f>HYPERLINK("https://www.somogyi.sk/product/uv-a-ziarivka-t5-230-v-8-w-365-400-nm-t5-f8w-bl-15837","https://www.somogyi.sk/product/uv-a-ziarivka-t5-230-v-8-w-365-400-nm-t5-f8w-bl-15837")</f>
        <v>0.0</v>
      </c>
      <c r="E185" s="7" t="n">
        <f>HYPERLINK("https://www.somogyi.sk/data/img/product_main_images/small/15837.jpg","https://www.somogyi.sk/data/img/product_main_images/small/15837.jpg")</f>
        <v>0.0</v>
      </c>
      <c r="F185" s="2" t="inlineStr">
        <is>
          <t>5999084938710</t>
        </is>
      </c>
      <c r="G185" s="4" t="inlineStr">
        <is>
          <t xml:space="preserve"> • výkon: 8 W 
 • N/A: 365 - 400 nm, UV-A 
 • napájanie: 230 V~ 
 • rozmery: Ø16 x 302,5 / 288,3 mm 
 • ďalšie informácie: Náhradná žiarivka k IKM 50</t>
        </is>
      </c>
    </row>
    <row r="186">
      <c r="A186" s="3" t="inlineStr">
        <is>
          <t>IK 230</t>
        </is>
      </c>
      <c r="B186" s="2" t="inlineStr">
        <is>
          <t>Vnútorný elektrický lapač hmyzu</t>
        </is>
      </c>
      <c r="C186" s="1" t="n">
        <v>13.29</v>
      </c>
      <c r="D186" s="7" t="n">
        <f>HYPERLINK("https://www.somogyi.sk/product/vnutorny-elektricky-lapac-hmyzu-ik-230-14417","https://www.somogyi.sk/product/vnutorny-elektricky-lapac-hmyzu-ik-230-14417")</f>
        <v>0.0</v>
      </c>
      <c r="E186" s="7" t="n">
        <f>HYPERLINK("https://www.somogyi.sk/data/img/product_main_images/small/14417.jpg","https://www.somogyi.sk/data/img/product_main_images/small/14417.jpg")</f>
        <v>0.0</v>
      </c>
      <c r="F186" s="2" t="inlineStr">
        <is>
          <t>5999084924652</t>
        </is>
      </c>
      <c r="G186" s="4" t="inlineStr">
        <is>
          <t xml:space="preserve"> • dosah: 20 m² 
 • výkon: 4 W 
 • zachytávacia miska: áno 
 • IP stupeň ochrany: IP 20 
 • závesné: áno 
 • možnosť umiestniť na rovnú plochu: áno 
 • umiestnenie na stenu: nie 
 • dĺžka napájacieho kábla: 1,2 m 
 • napájanie: 230 V~  / 50 Hz 
 • rozmery: 11,5 x 11,5 x 25 cm 
 • hmotnosť: 0,59 kg 
 • ďalšie informácie: Zabudované svietidlo je určené na hubenie hmyzu, nie je vhodné na osvetlenie domácnosti!</t>
        </is>
      </c>
    </row>
    <row r="187">
      <c r="A187" s="3" t="inlineStr">
        <is>
          <t>IKM 50</t>
        </is>
      </c>
      <c r="B187" s="2" t="inlineStr">
        <is>
          <t>Vnútorný elektrický lapač hmyzu, 2 x 8 W, kovový</t>
        </is>
      </c>
      <c r="C187" s="1" t="n">
        <v>34.29</v>
      </c>
      <c r="D187" s="7" t="n">
        <f>HYPERLINK("https://www.somogyi.sk/product/vnutorny-elektricky-lapac-hmyzu-2-x-8-w-kovovy-ikm-50-15835","https://www.somogyi.sk/product/vnutorny-elektricky-lapac-hmyzu-2-x-8-w-kovovy-ikm-50-15835")</f>
        <v>0.0</v>
      </c>
      <c r="E187" s="7" t="n">
        <f>HYPERLINK("https://www.somogyi.sk/data/img/product_main_images/small/15835.jpg","https://www.somogyi.sk/data/img/product_main_images/small/15835.jpg")</f>
        <v>0.0</v>
      </c>
      <c r="F187" s="2" t="inlineStr">
        <is>
          <t>5999084938697</t>
        </is>
      </c>
      <c r="G187" s="4" t="inlineStr">
        <is>
          <t xml:space="preserve"> • dosah: 50 m² 
 • výkon: 23 W 
 • závesné: áno 
 • dĺžka napájacieho kábla: 1 m 
 • napájanie: 230 V~ / 50 Hz 
 • rozmery: 35 x 27,2 x 8,6 cm 
 • hmotnosť: 1,79 kg 
 • ďalšie informácie: - 2 x 8W fiaľová UV-A žiarivka, vymeniteľné (T5 F8W BL) 
 •  - odstrániteľná zachytávacia miska 
 •  - len na vnútorné použitie! 
 •  - zabudované svietidlo je určené na lapanie hmyzu, nie je vhodné na osvetlenie miestnosti!</t>
        </is>
      </c>
    </row>
    <row r="188">
      <c r="A188" s="3" t="inlineStr">
        <is>
          <t>IKM 150</t>
        </is>
      </c>
      <c r="B188" s="2" t="inlineStr">
        <is>
          <t>Elektrický lapač hmyzu, 2x18 W, kovový</t>
        </is>
      </c>
      <c r="C188" s="1" t="n">
        <v>51.89</v>
      </c>
      <c r="D188" s="7" t="n">
        <f>HYPERLINK("https://www.somogyi.sk/product/elektricky-lapac-hmyzu-2x18-w-kovovy-ikm-150-16280","https://www.somogyi.sk/product/elektricky-lapac-hmyzu-2x18-w-kovovy-ikm-150-16280")</f>
        <v>0.0</v>
      </c>
      <c r="E188" s="7" t="n">
        <f>HYPERLINK("https://www.somogyi.sk/data/img/product_main_images/small/16280.jpg","https://www.somogyi.sk/data/img/product_main_images/small/16280.jpg")</f>
        <v>0.0</v>
      </c>
      <c r="F188" s="2" t="inlineStr">
        <is>
          <t>5999084943127</t>
        </is>
      </c>
      <c r="G188" s="4" t="inlineStr">
        <is>
          <t xml:space="preserve"> • dosah: 150 m² 
 • výkon: 36 W 
 • závesné: áno 
 • dĺžka napájacieho kábla: 1 ks 
 • napájanie: 230 V~ / 50 Hz 
 • rozmery: 32 x 66 x 9 cm 
 • hmotnosť: 2,83 kg 
 • ďalšie informácie: - 2 x 18W fiaľová UV-A žiarivka, vymeniteľné (T8 F18W BL) 
 •  - odstrániteľná zachytávacia miska 
 •  - len na vnútorné použitie!</t>
        </is>
      </c>
    </row>
    <row r="189">
      <c r="A189" s="3" t="inlineStr">
        <is>
          <t>IKF 50</t>
        </is>
      </c>
      <c r="B189" s="2" t="inlineStr">
        <is>
          <t>Elektrický ventilátorový lapač hmyzu, 9 W</t>
        </is>
      </c>
      <c r="C189" s="1" t="n">
        <v>31.59</v>
      </c>
      <c r="D189" s="7" t="n">
        <f>HYPERLINK("https://www.somogyi.sk/product/elektricky-ventilatorovy-lapac-hmyzu-9-w-ikf-50-17592","https://www.somogyi.sk/product/elektricky-ventilatorovy-lapac-hmyzu-9-w-ikf-50-17592")</f>
        <v>0.0</v>
      </c>
      <c r="E189" s="7" t="n">
        <f>HYPERLINK("https://www.somogyi.sk/data/img/product_main_images/small/17592.jpg","https://www.somogyi.sk/data/img/product_main_images/small/17592.jpg")</f>
        <v>0.0</v>
      </c>
      <c r="F189" s="2" t="inlineStr">
        <is>
          <t>5999084956141</t>
        </is>
      </c>
      <c r="G189" s="4" t="inlineStr">
        <is>
          <t xml:space="preserve"> • dosah: max. 50 m² 
 • výkon: 11 W 
 • IP stupeň ochrany: IP20 (žiadna ochrana pred vniknutím vody) 
 • závesné: áno 
 • možnosť umiestniť na rovnú plochu: áno 
 • napájanie: 230 V~ / 50 Hz 
 • rozmery: ∅26,5 x 29,5 cm</t>
        </is>
      </c>
    </row>
    <row r="190">
      <c r="A190" s="6" t="inlineStr">
        <is>
          <t xml:space="preserve">   Odpudzovač hmyzu a hlodavcov / Odpudzovač hmyzu, hlodavcov a zvierat</t>
        </is>
      </c>
      <c r="B190" s="6" t="inlineStr">
        <is>
          <t/>
        </is>
      </c>
      <c r="C190" s="6" t="inlineStr">
        <is>
          <t/>
        </is>
      </c>
      <c r="D190" s="6" t="inlineStr">
        <is>
          <t/>
        </is>
      </c>
      <c r="E190" s="6" t="inlineStr">
        <is>
          <t/>
        </is>
      </c>
      <c r="F190" s="6" t="inlineStr">
        <is>
          <t/>
        </is>
      </c>
      <c r="G190" s="6" t="inlineStr">
        <is>
          <t/>
        </is>
      </c>
    </row>
    <row r="191">
      <c r="A191" s="3" t="inlineStr">
        <is>
          <t>VK 02</t>
        </is>
      </c>
      <c r="B191" s="2" t="inlineStr">
        <is>
          <t>Odpudzovač krtkov</t>
        </is>
      </c>
      <c r="C191" s="1" t="n">
        <v>6.19</v>
      </c>
      <c r="D191" s="7" t="n">
        <f>HYPERLINK("https://www.somogyi.sk/product/odpudzovac-krtkov-vk-02-17048","https://www.somogyi.sk/product/odpudzovac-krtkov-vk-02-17048")</f>
        <v>0.0</v>
      </c>
      <c r="E191" s="7" t="n">
        <f>HYPERLINK("https://www.somogyi.sk/data/img/product_main_images/small/17048.jpg","https://www.somogyi.sk/data/img/product_main_images/small/17048.jpg")</f>
        <v>0.0</v>
      </c>
      <c r="F191" s="2" t="inlineStr">
        <is>
          <t>5999084950804</t>
        </is>
      </c>
      <c r="G191" s="4" t="inlineStr">
        <is>
          <t xml:space="preserve"> • materiál: plast 
 • frekvencia vibrácií: 50 sek 
 • dosah: 800 m² 
 • na vonkajšie použitie: áno 
 • napájanie: 3 x 1,5 V LR20 (D), nie je príslušenstvom 
 • rozmery: 5 x 7 x 30 cm 
 • balenie: 1 ks</t>
        </is>
      </c>
    </row>
    <row r="192">
      <c r="A192" s="3" t="inlineStr">
        <is>
          <t>IN 22142</t>
        </is>
      </c>
      <c r="B192" s="2" t="inlineStr">
        <is>
          <t>Mechanická pasca na potkany</t>
        </is>
      </c>
      <c r="C192" s="1" t="n">
        <v>4.19</v>
      </c>
      <c r="D192" s="7" t="n">
        <f>HYPERLINK("https://www.somogyi.sk/product/mechanicka-pasca-na-potkany-in-22142-16892","https://www.somogyi.sk/product/mechanicka-pasca-na-potkany-in-22142-16892")</f>
        <v>0.0</v>
      </c>
      <c r="E192" s="7" t="n">
        <f>HYPERLINK("https://www.somogyi.sk/data/img/product_main_images/small/16892.jpg","https://www.somogyi.sk/data/img/product_main_images/small/16892.jpg")</f>
        <v>0.0</v>
      </c>
      <c r="F192" s="2" t="inlineStr">
        <is>
          <t>7350007336774</t>
        </is>
      </c>
      <c r="G192" s="4" t="inlineStr">
        <is>
          <t xml:space="preserve"> • účinný proti: potkan 
 • materiál: kovová / plastová 
 • prevádzka: mechanický 
 • rozmery: 2,4 x 19 x 8 cm 
 • balenie: 1 ks</t>
        </is>
      </c>
    </row>
    <row r="193">
      <c r="A193" s="3" t="inlineStr">
        <is>
          <t>ESR01A</t>
        </is>
      </c>
      <c r="B193" s="2" t="inlineStr">
        <is>
          <t>Elektrický plašič so súmrakovým senzorom</t>
        </is>
      </c>
      <c r="C193" s="1" t="n">
        <v>25.59</v>
      </c>
      <c r="D193" s="7" t="n">
        <f>HYPERLINK("https://www.somogyi.sk/product/elektricky-plasic-so-sumrakovym-senzorom-esr01a-19036","https://www.somogyi.sk/product/elektricky-plasic-so-sumrakovym-senzorom-esr01a-19036")</f>
        <v>0.0</v>
      </c>
      <c r="E193" s="7" t="n">
        <f>HYPERLINK("https://www.somogyi.sk/data/img/product_main_images/small/19036.jpg","https://www.somogyi.sk/data/img/product_main_images/small/19036.jpg")</f>
        <v>0.0</v>
      </c>
      <c r="F193" s="2" t="inlineStr">
        <is>
          <t>5999888031648</t>
        </is>
      </c>
      <c r="G193" s="4" t="inlineStr">
        <is>
          <t xml:space="preserve"> • účinný proti: škorec 
 • prevádzka: špeciálny piskľavý zvuk (frekvencia: 5-15 kHz) 
 • charakteristiky: súmrakový spínač, funguje len pri dennom svetle 
 • N/A: 25-30 sekúnd 
 • N/A: 3 sekundy 
 • dosah: odporúčaná vzdialenosť umiestnenia: 50-60 m 
 • na vonkajšie použitie: áno 
 • napájanie: 9V (6LR61) batéria, nie je príslušenstvom 
 • rozmery: ∅3,7 x 16 cm 
 • hmotnosť: 120 g</t>
        </is>
      </c>
    </row>
    <row r="194">
      <c r="A194" s="3" t="inlineStr">
        <is>
          <t>AR02</t>
        </is>
      </c>
      <c r="B194" s="2" t="inlineStr">
        <is>
          <t>Odpudzovač zvierat, solárny</t>
        </is>
      </c>
      <c r="C194" s="1" t="n">
        <v>31.29</v>
      </c>
      <c r="D194" s="7" t="n">
        <f>HYPERLINK("https://www.somogyi.sk/product/odpudzovac-zvierat-solarny-ar02-18445","https://www.somogyi.sk/product/odpudzovac-zvierat-solarny-ar02-18445")</f>
        <v>0.0</v>
      </c>
      <c r="E194" s="7" t="n">
        <f>HYPERLINK("https://www.somogyi.sk/data/img/product_main_images/small/18445.jpg","https://www.somogyi.sk/data/img/product_main_images/small/18445.jpg")</f>
        <v>0.0</v>
      </c>
      <c r="F194" s="2" t="inlineStr">
        <is>
          <t>5999084964634</t>
        </is>
      </c>
      <c r="G194" s="4" t="inlineStr">
        <is>
          <t xml:space="preserve"> • prevádzka: 13,5 kHz – 23,5 kHz   LED blikajúce svetlo 
 • senzor pohybu: PIR 
 • charakteristiky: zabudovaný solárny panel • voliteľný alarm s blikajúcim svetlom 
 • ochrana proti vode: IPX4: ochrana voči stiekajúcej vode (z každého smeru) 
 • dosah: 110° vo vejárovom tvare, 5-8 m 
 • na vonkajšie použitie: áno 
 • napájanie: 3 x 1,2V 400mAh NiMH (AA) vymeniteľný akumulátor, je príslušenstvom 
 • rozmery: 90 x (130/380) x 68 mm 
 • balenie: 1 ks 
 • príslušenstvo: USB nabíjací kábel</t>
        </is>
      </c>
    </row>
    <row r="195">
      <c r="A195" s="3" t="inlineStr">
        <is>
          <t>EVR01</t>
        </is>
      </c>
      <c r="B195" s="2" t="inlineStr">
        <is>
          <t>Elektrický plašič divej zveri</t>
        </is>
      </c>
      <c r="C195" s="1" t="n">
        <v>21.79</v>
      </c>
      <c r="D195" s="7" t="n">
        <f>HYPERLINK("https://www.somogyi.sk/product/elektricky-plasic-divej-zveri-evr01-19038","https://www.somogyi.sk/product/elektricky-plasic-divej-zveri-evr01-19038")</f>
        <v>0.0</v>
      </c>
      <c r="E195" s="7" t="n">
        <f>HYPERLINK("https://www.somogyi.sk/data/img/product_main_images/small/19038.jpg","https://www.somogyi.sk/data/img/product_main_images/small/19038.jpg")</f>
        <v>0.0</v>
      </c>
      <c r="F195" s="2" t="inlineStr">
        <is>
          <t>5999888031655</t>
        </is>
      </c>
      <c r="G195" s="4" t="inlineStr">
        <is>
          <t xml:space="preserve"> • prevádzka: špeciálny piskľavý zvuk (frekvencia: 5-15 kHz) 
 • N/A: 1,5-2 minúty 
 • N/A: 3 sek 
 • dosah: odporúčaná vzdialenosť umiestnenia: 80-100 m 
 • na vonkajšie použitie: áno 
 • napájanie: 9V (6LR61) batéria, nie je príslušenstvom 
 • rozmery: ∅3,7 x 16 cm 
 • hmotnosť: 120 g</t>
        </is>
      </c>
    </row>
    <row r="196">
      <c r="A196" s="3" t="inlineStr">
        <is>
          <t>UH11</t>
        </is>
      </c>
      <c r="B196" s="2" t="inlineStr">
        <is>
          <t>Ultrazvukový odpudzovač komárov</t>
        </is>
      </c>
      <c r="C196" s="1" t="n">
        <v>11.29</v>
      </c>
      <c r="D196" s="7" t="n">
        <f>HYPERLINK("https://www.somogyi.sk/product/ultrazvukovy-odpudzovac-komarov-uh11-18447","https://www.somogyi.sk/product/ultrazvukovy-odpudzovac-komarov-uh11-18447")</f>
        <v>0.0</v>
      </c>
      <c r="E196" s="7" t="n">
        <f>HYPERLINK("https://www.somogyi.sk/data/img/product_main_images/small/18447.jpg","https://www.somogyi.sk/data/img/product_main_images/small/18447.jpg")</f>
        <v>0.0</v>
      </c>
      <c r="F196" s="2" t="inlineStr">
        <is>
          <t>5999084964658</t>
        </is>
      </c>
      <c r="G196" s="4" t="inlineStr">
        <is>
          <t xml:space="preserve"> • frekvencia vibrácií: 3-4 sek 
 • zabudované osvetlenie: za- a vypnuteľné nočné pozičné svetlo 
 • dosah: jedna miestnosť (max.60 m²) 
 • napájanie: 220-240 V~ 50/60 Hz 
 • rozmery: 55 x 95 x 32 mm 
 • balenie: 1 ks</t>
        </is>
      </c>
    </row>
    <row r="197">
      <c r="A197" s="3" t="inlineStr">
        <is>
          <t>IN 22150</t>
        </is>
      </c>
      <c r="B197" s="2" t="inlineStr">
        <is>
          <t>Silverline mechanická pasca na myši</t>
        </is>
      </c>
      <c r="C197" s="1" t="n">
        <v>4.09</v>
      </c>
      <c r="D197" s="7" t="n">
        <f>HYPERLINK("https://www.somogyi.sk/product/silverline-mechanicka-pasca-na-mysi-in-22150-16889","https://www.somogyi.sk/product/silverline-mechanicka-pasca-na-mysi-in-22150-16889")</f>
        <v>0.0</v>
      </c>
      <c r="E197" s="7" t="n">
        <f>HYPERLINK("https://www.somogyi.sk/data/img/product_main_images/small/16889.jpg","https://www.somogyi.sk/data/img/product_main_images/small/16889.jpg")</f>
        <v>0.0</v>
      </c>
      <c r="F197" s="2" t="inlineStr">
        <is>
          <t>7350007337085</t>
        </is>
      </c>
      <c r="G197" s="4" t="inlineStr">
        <is>
          <t xml:space="preserve"> • účinný proti: myš 
 • materiál: kovová / plastová 
 • prevádzka: mechanický 
 • rozmery: 55 x 50 x 135 mm 
 • balenie: 1 ks</t>
        </is>
      </c>
    </row>
    <row r="198">
      <c r="A198" s="3" t="inlineStr">
        <is>
          <t>AR 01</t>
        </is>
      </c>
      <c r="B198" s="2" t="inlineStr">
        <is>
          <t>Odpudzovač zvierat</t>
        </is>
      </c>
      <c r="C198" s="1" t="n">
        <v>24.59</v>
      </c>
      <c r="D198" s="7" t="n">
        <f>HYPERLINK("https://www.somogyi.sk/product/odpudzovac-zvierat-ar-01-17049","https://www.somogyi.sk/product/odpudzovac-zvierat-ar-01-17049")</f>
        <v>0.0</v>
      </c>
      <c r="E198" s="7" t="n">
        <f>HYPERLINK("https://www.somogyi.sk/data/img/product_main_images/small/17049.jpg","https://www.somogyi.sk/data/img/product_main_images/small/17049.jpg")</f>
        <v>0.0</v>
      </c>
      <c r="F198" s="2" t="inlineStr">
        <is>
          <t>5999084950811</t>
        </is>
      </c>
      <c r="G198" s="4" t="inlineStr">
        <is>
          <t xml:space="preserve"> • účinný proti: vhodné na odpudenie psov, mačiek, líšok, veveričiek a malých hlodavcov 
 • materiál: plast 
 •  
 • dosah: dosah pohybového senzora až 8 m a 120° 
 • na vonkajšie použitie: áno 
 • napájanie: 4 x 1,2 V 300 mAh NiMh (AA) vymeniteľný akumulátor, je príslušenstvom 
 • rozmery: ∅13 x 34 cm</t>
        </is>
      </c>
    </row>
    <row r="199">
      <c r="A199" s="3" t="inlineStr">
        <is>
          <t>EVR01A</t>
        </is>
      </c>
      <c r="B199" s="2" t="inlineStr">
        <is>
          <t>Elektrický plašič divej zveri so súmrakovým senzorom</t>
        </is>
      </c>
      <c r="C199" s="1" t="n">
        <v>25.59</v>
      </c>
      <c r="D199" s="7" t="n">
        <f>HYPERLINK("https://www.somogyi.sk/product/elektricky-plasic-divej-zveri-so-sumrakovym-senzorom-evr01a-19039","https://www.somogyi.sk/product/elektricky-plasic-divej-zveri-so-sumrakovym-senzorom-evr01a-19039")</f>
        <v>0.0</v>
      </c>
      <c r="E199" s="7" t="n">
        <f>HYPERLINK("https://www.somogyi.sk/data/img/product_main_images/small/19039.jpg","https://www.somogyi.sk/data/img/product_main_images/small/19039.jpg")</f>
        <v>0.0</v>
      </c>
      <c r="F199" s="2" t="inlineStr">
        <is>
          <t>5999888031662</t>
        </is>
      </c>
      <c r="G199" s="4" t="inlineStr">
        <is>
          <t xml:space="preserve"> • prevádzka: špeciálny piskľavý zvuk (frekvencia: 5-15 kHz) 
 • charakteristiky: súmrakový senzor, funguje len v tme 
 • N/A: 1,5-2 minúty 
 • N/A: 3 sek 
 • dosah: odporúčaná vzdialenosť umiestnenia: 80-100 m 
 • napájanie: 9V (6LR61) batéria, nie je príslušenstvom 
 • rozmery: ∅3,7 x 16 cm 
 • hmotnosť: 120 g</t>
        </is>
      </c>
    </row>
    <row r="200">
      <c r="A200" s="3" t="inlineStr">
        <is>
          <t>VKS 04</t>
        </is>
      </c>
      <c r="B200" s="2" t="inlineStr">
        <is>
          <t>Solárny odpudzovač krtkov s LED svetlom, kolík 800 m2</t>
        </is>
      </c>
      <c r="C200" s="1" t="n">
        <v>10.99</v>
      </c>
      <c r="D200" s="7" t="n">
        <f>HYPERLINK("https://www.somogyi.sk/product/solarny-odpudzovac-krtkov-s-led-svetlom-kolik-800-m2-vks-04-14332","https://www.somogyi.sk/product/solarny-odpudzovac-krtkov-s-led-svetlom-kolik-800-m2-vks-04-14332")</f>
        <v>0.0</v>
      </c>
      <c r="E200" s="7" t="n">
        <f>HYPERLINK("https://www.somogyi.sk/data/img/product_main_images/small/14332.jpg","https://www.somogyi.sk/data/img/product_main_images/small/14332.jpg")</f>
        <v>0.0</v>
      </c>
      <c r="F200" s="2" t="inlineStr">
        <is>
          <t>5999084923808</t>
        </is>
      </c>
      <c r="G200" s="4" t="inlineStr">
        <is>
          <t xml:space="preserve"> • účinný proti: podzemné hlodavce, krtko 
 • materiál: plast, hliníková tyč 
 • prevádzka: 400 Hz +/- 100 Hz 
 • senzor pohybu: nie 
 • frekvencia vibrácií: 50 sek. 
 • zabudované osvetlenie: LED 
 • dosah: 800 m² 
 • na vonkajšie použitie: áno 
 • napájanie: akumulátor: 1,2 V / 300 mAh/ AA (NiMH) 
 • rozmery: Ø15 x 37 cm 
 • hmotnosť: 0,41 kg</t>
        </is>
      </c>
    </row>
    <row r="201">
      <c r="A201" s="3" t="inlineStr">
        <is>
          <t>IN 25301</t>
        </is>
      </c>
      <c r="B201" s="2" t="inlineStr">
        <is>
          <t>Mice &amp; Rat Free 50</t>
        </is>
      </c>
      <c r="C201" s="1" t="n">
        <v>33.59</v>
      </c>
      <c r="D201" s="7" t="n">
        <f>HYPERLINK("https://www.somogyi.sk/product/mice-rat-free-50-in-25301-16865","https://www.somogyi.sk/product/mice-rat-free-50-in-25301-16865")</f>
        <v>0.0</v>
      </c>
      <c r="E201" s="7" t="n">
        <f>HYPERLINK("https://www.somogyi.sk/data/img/product_main_images/small/16865.jpg","https://www.somogyi.sk/data/img/product_main_images/small/16865.jpg")</f>
        <v>0.0</v>
      </c>
      <c r="F201" s="2" t="inlineStr">
        <is>
          <t>7350007336576</t>
        </is>
      </c>
      <c r="G201" s="4" t="inlineStr">
        <is>
          <t xml:space="preserve"> • účinný proti: myš, potkan 
 • materiál: kov, plast 
 • prevádzka: ultrazvuk 
 • dosah: 50 m² 
 • na vonkajšie použitie: nie 
 • napájanie: 230 V~ 
 • rozmery: 6,2 x 8,5 x 6,4 cm</t>
        </is>
      </c>
    </row>
    <row r="202">
      <c r="A202" s="3" t="inlineStr">
        <is>
          <t>IN 25304</t>
        </is>
      </c>
      <c r="B202" s="2" t="inlineStr">
        <is>
          <t>Silverline odpudzovač myší a hlodavcov</t>
        </is>
      </c>
      <c r="C202" s="1" t="n">
        <v>45.29</v>
      </c>
      <c r="D202" s="7" t="n">
        <f>HYPERLINK("https://www.somogyi.sk/product/silverline-odpudzovac-mysi-a-hlodavcov-in-25304-16866","https://www.somogyi.sk/product/silverline-odpudzovac-mysi-a-hlodavcov-in-25304-16866")</f>
        <v>0.0</v>
      </c>
      <c r="E202" s="7" t="n">
        <f>HYPERLINK("https://www.somogyi.sk/data/img/product_main_images/small/16866.jpg","https://www.somogyi.sk/data/img/product_main_images/small/16866.jpg")</f>
        <v>0.0</v>
      </c>
      <c r="F202" s="2" t="inlineStr">
        <is>
          <t>7350007336590</t>
        </is>
      </c>
      <c r="G202" s="4" t="inlineStr">
        <is>
          <t xml:space="preserve"> • účinný proti: myš, potkan 
 • materiál: kov, plast 
 • prevádzka: ultrazvuk 
 • dosah: 30 m² 
 • na vonkajšie použitie: nie 
 • napájanie: 230 V~ 
 • rozmery: 6,1 x 7,2 x 6,4 cm</t>
        </is>
      </c>
    </row>
    <row r="203">
      <c r="A203" s="3" t="inlineStr">
        <is>
          <t>IN 25352</t>
        </is>
      </c>
      <c r="B203" s="2" t="inlineStr">
        <is>
          <t>Silverline batériový odpudzovač kún</t>
        </is>
      </c>
      <c r="C203" s="1" t="n">
        <v>66.49</v>
      </c>
      <c r="D203" s="7" t="n">
        <f>HYPERLINK("https://www.somogyi.sk/product/silverline-bateriovy-odpudzovac-kun-in-25352-16872","https://www.somogyi.sk/product/silverline-bateriovy-odpudzovac-kun-in-25352-16872")</f>
        <v>0.0</v>
      </c>
      <c r="E203" s="7" t="n">
        <f>HYPERLINK("https://www.somogyi.sk/data/img/product_main_images/small/16872.jpg","https://www.somogyi.sk/data/img/product_main_images/small/16872.jpg")</f>
        <v>0.0</v>
      </c>
      <c r="F203" s="2" t="inlineStr">
        <is>
          <t>7350007336705</t>
        </is>
      </c>
      <c r="G203" s="4" t="inlineStr">
        <is>
          <t xml:space="preserve"> • účinný proti: kuna 
 • materiál: plast 
 • prevádzka: ultrazvuk 
 • senzor pohybu: nie 
 • dosah: 50 m² 
 • na vonkajšie použitie: nie 
 • napájanie: 3 x 1,5 V (LR14) batéria, nie je príslušenstvom 
 • rozmery: 3,7 x 13 x 8 cm</t>
        </is>
      </c>
    </row>
    <row r="204">
      <c r="A204" s="3" t="inlineStr">
        <is>
          <t>IN 25308</t>
        </is>
      </c>
      <c r="B204" s="2" t="inlineStr">
        <is>
          <t>Elektrický odpudzovač myší a hlodavcov</t>
        </is>
      </c>
      <c r="C204" s="1" t="n">
        <v>86.39</v>
      </c>
      <c r="D204" s="7" t="n">
        <f>HYPERLINK("https://www.somogyi.sk/product/elektricky-odpudzovac-mysi-a-hlodavcov-in-25308-16869","https://www.somogyi.sk/product/elektricky-odpudzovac-mysi-a-hlodavcov-in-25308-16869")</f>
        <v>0.0</v>
      </c>
      <c r="E204" s="7" t="n">
        <f>HYPERLINK("https://www.somogyi.sk/data/img/product_main_images/small/16869.jpg","https://www.somogyi.sk/data/img/product_main_images/small/16869.jpg")</f>
        <v>0.0</v>
      </c>
      <c r="F204" s="2" t="inlineStr">
        <is>
          <t>7350007336651</t>
        </is>
      </c>
      <c r="G204" s="4" t="inlineStr">
        <is>
          <t xml:space="preserve"> • účinný proti: myš, hlodavce 
 • materiál: kov, plast 
 • dosah: 130 m² ultrazvuk / 400 m² elektromagnetický impulz 
 • na vonkajšie použitie: nie 
 • napájanie: 230 V~/ 4 W 
 • rozmery: 7,5 x 14 x 8 cm</t>
        </is>
      </c>
    </row>
    <row r="205">
      <c r="A205" s="3" t="inlineStr">
        <is>
          <t>IN 25306</t>
        </is>
      </c>
      <c r="B205" s="2" t="inlineStr">
        <is>
          <t>Elektrický odpudzovač myší a hlodavcov</t>
        </is>
      </c>
      <c r="C205" s="1" t="n">
        <v>65.79</v>
      </c>
      <c r="D205" s="7" t="n">
        <f>HYPERLINK("https://www.somogyi.sk/product/elektricky-odpudzovac-mysi-a-hlodavcov-in-25306-16868","https://www.somogyi.sk/product/elektricky-odpudzovac-mysi-a-hlodavcov-in-25306-16868")</f>
        <v>0.0</v>
      </c>
      <c r="E205" s="7" t="n">
        <f>HYPERLINK("https://www.somogyi.sk/data/img/product_main_images/small/16868.jpg","https://www.somogyi.sk/data/img/product_main_images/small/16868.jpg")</f>
        <v>0.0</v>
      </c>
      <c r="F205" s="2" t="inlineStr">
        <is>
          <t>7350007336637</t>
        </is>
      </c>
      <c r="G205" s="4" t="inlineStr">
        <is>
          <t xml:space="preserve"> • účinný proti: myš, hlodavce 
 • materiál: kov, plast 
 • dosah: 80 m² ultrazvuk / 200 m² elektromagnetický impulz 
 • na vonkajšie použitie: nie 
 • napájanie: 230 V~ / 3,5 W 
 • rozmery: 6,5 x 11,9 x 7 cm</t>
        </is>
      </c>
    </row>
    <row r="206">
      <c r="A206" s="3" t="inlineStr">
        <is>
          <t>VK03</t>
        </is>
      </c>
      <c r="B206" s="2" t="inlineStr">
        <is>
          <t>Odpudzovač krtkov</t>
        </is>
      </c>
      <c r="C206" s="1" t="n">
        <v>18.99</v>
      </c>
      <c r="D206" s="7" t="n">
        <f>HYPERLINK("https://www.somogyi.sk/product/odpudzovac-krtkov-vk03-18446","https://www.somogyi.sk/product/odpudzovac-krtkov-vk03-18446")</f>
        <v>0.0</v>
      </c>
      <c r="E206" s="7" t="n">
        <f>HYPERLINK("https://www.somogyi.sk/data/img/product_main_images/small/18446.jpg","https://www.somogyi.sk/data/img/product_main_images/small/18446.jpg")</f>
        <v>0.0</v>
      </c>
      <c r="F206" s="2" t="inlineStr">
        <is>
          <t>5999084964641</t>
        </is>
      </c>
      <c r="G206" s="4" t="inlineStr">
        <is>
          <t xml:space="preserve"> • prevádzka: DualAttack: vydáva vibrácie každých 30 sekúnd so zvukom (400 Hz – 2000 Hz) alebo vibro-motorom 
 • charakteristiky: signály nerušia iné zvieratá ani ľudí 
 • ochrana proti vode: IPX4: ochrana voči stiekajúcej vode (z každého smeru) 
 • na vonkajšie použitie: áno 
 • napájanie: 4 x 1,5V LR20 (D) batéria, nie je príslušenstvom 
 • rozmery: Ø5,6 x 41,5 cm 
 • balenie: 1 ks</t>
        </is>
      </c>
    </row>
    <row r="207">
      <c r="A207" s="3" t="inlineStr">
        <is>
          <t>MK-202</t>
        </is>
      </c>
      <c r="B207" s="2" t="inlineStr">
        <is>
          <t>Elektrický odpudzovač komárov 2 x 2W žiarovka</t>
        </is>
      </c>
      <c r="C207" s="1" t="n">
        <v>9.79</v>
      </c>
      <c r="D207" s="7" t="n">
        <f>HYPERLINK("https://www.somogyi.sk/product/elektricky-odpudzovac-komarov-2-x-2w-ziarovka-mk-202-13032","https://www.somogyi.sk/product/elektricky-odpudzovac-komarov-2-x-2w-ziarovka-mk-202-13032")</f>
        <v>0.0</v>
      </c>
      <c r="E207" s="7" t="n">
        <f>HYPERLINK("https://www.somogyi.sk/data/img/product_main_images/small/13032.jpg","https://www.somogyi.sk/data/img/product_main_images/small/13032.jpg")</f>
        <v>0.0</v>
      </c>
      <c r="F207" s="2" t="inlineStr">
        <is>
          <t>5998777335386</t>
        </is>
      </c>
      <c r="G207" s="4" t="inlineStr">
        <is>
          <t xml:space="preserve"> • účinný proti: komáre 
 • materiál: plast 
 • prevádzka: vysoké napätie 
 • senzor pohybu: nie 
 • zabudované osvetlenie: UV žiarovka 
 • dosah: 20 m² 
 • na vonkajšie použitie: nie 
 • napájanie: 230 V~  / 50 Hz</t>
        </is>
      </c>
    </row>
    <row r="208">
      <c r="A208" s="3" t="inlineStr">
        <is>
          <t>UH13</t>
        </is>
      </c>
      <c r="B208" s="2" t="inlineStr">
        <is>
          <t>Ultrazvukový odpudzovač hlodavcov</t>
        </is>
      </c>
      <c r="C208" s="1" t="n">
        <v>25.19</v>
      </c>
      <c r="D208" s="7" t="n">
        <f>HYPERLINK("https://www.somogyi.sk/product/ultrazvukovy-odpudzovac-hlodavcov-uh13-18449","https://www.somogyi.sk/product/ultrazvukovy-odpudzovac-hlodavcov-uh13-18449")</f>
        <v>0.0</v>
      </c>
      <c r="E208" s="7" t="n">
        <f>HYPERLINK("https://www.somogyi.sk/data/img/product_main_images/small/18449.jpg","https://www.somogyi.sk/data/img/product_main_images/small/18449.jpg")</f>
        <v>0.0</v>
      </c>
      <c r="F208" s="2" t="inlineStr">
        <is>
          <t>5999084964672</t>
        </is>
      </c>
      <c r="G208" s="4" t="inlineStr">
        <is>
          <t xml:space="preserve"> • účinný proti: myš, potkan, kuna 
 •  
 • dosah: jedna miestnosť (max.120 m²) 
 • napájanie: 3 x 1,5V (C) batéria (nie je príslušenstvom) alebo USB sieťový adaptér 5V/500mA (je príslušenstvom) 
 • rozmery: 140 x 85 x 73 mm 
 • balenie: 1 ks</t>
        </is>
      </c>
    </row>
    <row r="209">
      <c r="A209" s="3" t="inlineStr">
        <is>
          <t>EPR01</t>
        </is>
      </c>
      <c r="B209" s="2" t="inlineStr">
        <is>
          <t>Elektrický plašič potkanov a kún</t>
        </is>
      </c>
      <c r="C209" s="1" t="n">
        <v>21.79</v>
      </c>
      <c r="D209" s="7" t="n">
        <f>HYPERLINK("https://www.somogyi.sk/product/elektricky-plasic-potkanov-a-kun-epr01-19035","https://www.somogyi.sk/product/elektricky-plasic-potkanov-a-kun-epr01-19035")</f>
        <v>0.0</v>
      </c>
      <c r="E209" s="7" t="n">
        <f>HYPERLINK("https://www.somogyi.sk/data/img/product_main_images/small/19035.jpg","https://www.somogyi.sk/data/img/product_main_images/small/19035.jpg")</f>
        <v>0.0</v>
      </c>
      <c r="F209" s="2" t="inlineStr">
        <is>
          <t>5999888031617</t>
        </is>
      </c>
      <c r="G209" s="4" t="inlineStr">
        <is>
          <t xml:space="preserve"> • prevádzka: špeciálny piskľavý zvuk (frekvencia: 5-15 kHz) 
 • N/A: 40-80 sekúnd 
 • N/A: 3 sekundy 
 • na vonkajšie použitie: áno 
 • napájanie: 9V (6LR61) batéria, nie je príslušenstvom 
 • rozmery: ∅3,7 x 16 cm 
 • hmotnosť: 120 g</t>
        </is>
      </c>
    </row>
    <row r="210">
      <c r="A210" s="3" t="inlineStr">
        <is>
          <t>UH12</t>
        </is>
      </c>
      <c r="B210" s="2" t="inlineStr">
        <is>
          <t>Ultrazvukový a elektromagnetický odpudzovač hlodavcov, DualEffect</t>
        </is>
      </c>
      <c r="C210" s="1" t="n">
        <v>22.09</v>
      </c>
      <c r="D210" s="7" t="n">
        <f>HYPERLINK("https://www.somogyi.sk/product/ultrazvukovy-a-elektromagneticky-odpudzovac-hlodavcov-dualeffect-uh12-18448","https://www.somogyi.sk/product/ultrazvukovy-a-elektromagneticky-odpudzovac-hlodavcov-dualeffect-uh12-18448")</f>
        <v>0.0</v>
      </c>
      <c r="E210" s="7" t="n">
        <f>HYPERLINK("https://www.somogyi.sk/data/img/product_main_images/small/18448.jpg","https://www.somogyi.sk/data/img/product_main_images/small/18448.jpg")</f>
        <v>0.0</v>
      </c>
      <c r="F210" s="2" t="inlineStr">
        <is>
          <t>5999084964665</t>
        </is>
      </c>
      <c r="G210" s="4" t="inlineStr">
        <is>
          <t xml:space="preserve"> • účinný proti: myš, potkan, malé hlodavce 
 • zabudované osvetlenie: za- a vypnuteľné nočné pozičné svetlo 
 • dosah: jedna miestnosť (max. 80 m²) 
 • napájanie: 220-240 V~ 50/60 Hz 
 • rozmery: 72 x 115 x 35 mm 
 • balenie: 1 ks</t>
        </is>
      </c>
    </row>
    <row r="211">
      <c r="A211" s="3" t="inlineStr">
        <is>
          <t>VKS 02</t>
        </is>
      </c>
      <c r="B211" s="2" t="inlineStr">
        <is>
          <t>Solárny odpudzovač krtkov, kolík, 350 m2</t>
        </is>
      </c>
      <c r="C211" s="1" t="n">
        <v>9.79</v>
      </c>
      <c r="D211" s="7" t="n">
        <f>HYPERLINK("https://www.somogyi.sk/product/solarny-odpudzovac-krtkov-kolik-350-m2-vks-02-13329","https://www.somogyi.sk/product/solarny-odpudzovac-krtkov-kolik-350-m2-vks-02-13329")</f>
        <v>0.0</v>
      </c>
      <c r="E211" s="7" t="n">
        <f>HYPERLINK("https://www.somogyi.sk/data/img/product_main_images/small/13329.jpg","https://www.somogyi.sk/data/img/product_main_images/small/13329.jpg")</f>
        <v>0.0</v>
      </c>
      <c r="F211" s="2" t="inlineStr">
        <is>
          <t>5999084914158</t>
        </is>
      </c>
      <c r="G211" s="4" t="inlineStr">
        <is>
          <t xml:space="preserve"> • účinný proti: podzemné hlodavce, krtko 
 • materiál: plast, hliníková tyč 
 • prevádzka: 400 Hz +/- 100 Hz 
 • senzor pohybu: nie 
 • frekvencia vibrácií: 30 sek. 
 • zabudované osvetlenie: nie 
 • dosah: 350 m² 
 • na vonkajšie použitie: áno 
 • napájanie: akumulátor: 1,2 V / 600 mAh/ AA (NiMH) 
 • rozmery: Ø15,5 x 26 cm 
 • hmotnosť: 0,33 kg</t>
        </is>
      </c>
    </row>
    <row r="212">
      <c r="A212" s="3" t="inlineStr">
        <is>
          <t>VK 01</t>
        </is>
      </c>
      <c r="B212" s="2" t="inlineStr">
        <is>
          <t>Odpudzovač krtkov, 2000 m²,  9V</t>
        </is>
      </c>
      <c r="C212" s="1" t="n">
        <v>19.79</v>
      </c>
      <c r="D212" s="7" t="n">
        <f>HYPERLINK("https://www.somogyi.sk/product/odpudzovac-krtkov-2000-m-9v-vk-01-7649","https://www.somogyi.sk/product/odpudzovac-krtkov-2000-m-9v-vk-01-7649")</f>
        <v>0.0</v>
      </c>
      <c r="E212" s="7" t="n">
        <f>HYPERLINK("https://www.somogyi.sk/data/img/product_main_images/small/07649.jpg","https://www.somogyi.sk/data/img/product_main_images/small/07649.jpg")</f>
        <v>0.0</v>
      </c>
      <c r="F212" s="2" t="inlineStr">
        <is>
          <t>5998177309574</t>
        </is>
      </c>
      <c r="G212" s="4" t="inlineStr">
        <is>
          <t xml:space="preserve"> • účinný proti: krtko, myš, hraboš poľný 
 • materiál: plast 
 • prevádzka: mechanické vibrácie 
 • senzor pohybu: nie 
 • frekvencia vibrácií: 35 - 80 sek. 
 • zabudované osvetlenie: nie 
 • dosah: až 3000  m² 
 • na vonkajšie použitie: áno 
 • napájanie: 1 x 6LR61 (9 V) batéria (nie je príslušenstvom) 
 • rozmery: Ø4 x 30 cm 
 • hmotnosť: 0,2 kg</t>
        </is>
      </c>
    </row>
    <row r="213">
      <c r="A213" s="3" t="inlineStr">
        <is>
          <t>DOG 01</t>
        </is>
      </c>
      <c r="B213" s="2" t="inlineStr">
        <is>
          <t>Prenosný odpudzovač psa</t>
        </is>
      </c>
      <c r="C213" s="1" t="n">
        <v>7.29</v>
      </c>
      <c r="D213" s="7" t="n">
        <f>HYPERLINK("https://www.somogyi.sk/product/prenosny-odpudzovac-psa-dog-01-17047","https://www.somogyi.sk/product/prenosny-odpudzovac-psa-dog-01-17047")</f>
        <v>0.0</v>
      </c>
      <c r="E213" s="7" t="n">
        <f>HYPERLINK("https://www.somogyi.sk/data/img/product_main_images/small/17047.jpg","https://www.somogyi.sk/data/img/product_main_images/small/17047.jpg")</f>
        <v>0.0</v>
      </c>
      <c r="F213" s="2" t="inlineStr">
        <is>
          <t>5999084950798</t>
        </is>
      </c>
      <c r="G213" s="4" t="inlineStr">
        <is>
          <t xml:space="preserve"> • materiál: plast 
 • dosah: 10 m 
 • napájanie: 1 X 9 V (6LR61), nie je príslušenstvom 
 • rozmery: 12,5 X 2,5 X 4 cm</t>
        </is>
      </c>
    </row>
    <row r="214">
      <c r="A214" s="3" t="inlineStr">
        <is>
          <t>UH 10</t>
        </is>
      </c>
      <c r="B214" s="2" t="inlineStr">
        <is>
          <t>Ultrazvukový odpudzovač hmyzu, 30 nm, 230V</t>
        </is>
      </c>
      <c r="C214" s="1" t="n">
        <v>3.09</v>
      </c>
      <c r="D214" s="7" t="n">
        <f>HYPERLINK("https://www.somogyi.sk/product/ultrazvukovy-odpudzovac-hmyzu-30-nm-230v-uh-10-14404","https://www.somogyi.sk/product/ultrazvukovy-odpudzovac-hmyzu-30-nm-230v-uh-10-14404")</f>
        <v>0.0</v>
      </c>
      <c r="E214" s="7" t="n">
        <f>HYPERLINK("https://www.somogyi.sk/data/img/product_main_images/small/14404.jpg","https://www.somogyi.sk/data/img/product_main_images/small/14404.jpg")</f>
        <v>0.0</v>
      </c>
      <c r="F214" s="2" t="inlineStr">
        <is>
          <t>5999084924522</t>
        </is>
      </c>
      <c r="G214" s="4" t="inlineStr">
        <is>
          <t xml:space="preserve"> • účinný proti: komáre 
 • materiál: - 
 • prevádzka: 7 KHz 
 • senzor pohybu: nie 
 • zabudované osvetlenie: nie 
 • dosah: 30 m² 
 • na vonkajšie použitie: nie 
 • napájanie: 230 V~  / 0,5 W 
 • rozmery: 5,6 x 3 x 2 cm 
 • hmotnosť: 0,04 kg</t>
        </is>
      </c>
    </row>
    <row r="215">
      <c r="A215" s="3" t="inlineStr">
        <is>
          <t>EGR01</t>
        </is>
      </c>
      <c r="B215" s="2" t="inlineStr">
        <is>
          <t>Elektrický plašič holubov</t>
        </is>
      </c>
      <c r="C215" s="1" t="n">
        <v>21.79</v>
      </c>
      <c r="D215" s="7" t="n">
        <f>HYPERLINK("https://www.somogyi.sk/product/elektricky-plasic-holubov-egr01-19040","https://www.somogyi.sk/product/elektricky-plasic-holubov-egr01-19040")</f>
        <v>0.0</v>
      </c>
      <c r="E215" s="7" t="n">
        <f>HYPERLINK("https://www.somogyi.sk/data/img/product_main_images/small/19040.jpg","https://www.somogyi.sk/data/img/product_main_images/small/19040.jpg")</f>
        <v>0.0</v>
      </c>
      <c r="F215" s="2" t="inlineStr">
        <is>
          <t>5999888031679</t>
        </is>
      </c>
      <c r="G215" s="4" t="inlineStr">
        <is>
          <t xml:space="preserve"> • účinný proti: holub 
 • prevádzka: špeciálny piskľavý zvuk (frekvencia: 5-15 kHz) 
 • N/A: 30-60 sekúnd 
 • N/A: 3 sekundy 
 • dosah: odporúčaná vzdialenosť umiestnenia: 20-40 m 
 • na vonkajšie použitie: áno 
 • napájanie: 9V (6LR61) batéria, nie je príslušenstvom 
 • rozmery: ∅3,7 x 16 cm 
 • hmotnosť: 120 g</t>
        </is>
      </c>
    </row>
    <row r="216">
      <c r="A216" s="3" t="inlineStr">
        <is>
          <t>ESR01</t>
        </is>
      </c>
      <c r="B216" s="2" t="inlineStr">
        <is>
          <t>Elektrický plašič škorcov</t>
        </is>
      </c>
      <c r="C216" s="1" t="n">
        <v>21.79</v>
      </c>
      <c r="D216" s="7" t="n">
        <f>HYPERLINK("https://www.somogyi.sk/product/elektricky-plasic-skorcov-esr01-19037","https://www.somogyi.sk/product/elektricky-plasic-skorcov-esr01-19037")</f>
        <v>0.0</v>
      </c>
      <c r="E216" s="7" t="n">
        <f>HYPERLINK("https://www.somogyi.sk/data/img/product_main_images/small/19037.jpg","https://www.somogyi.sk/data/img/product_main_images/small/19037.jpg")</f>
        <v>0.0</v>
      </c>
      <c r="F216" s="2" t="inlineStr">
        <is>
          <t>5999888031624</t>
        </is>
      </c>
      <c r="G216" s="4" t="inlineStr">
        <is>
          <t xml:space="preserve"> • účinný proti: škorec 
 • prevádzka: špeciálny piskľavý zvuk (frekvencia: 5-15 kHz) 
 • N/A: 25-30 sekúnd 
 • N/A: 3 sekundy 
 • dosah: odporúčaná vzdialenosť umiestnenia: 50-60 m 
 • na vonkajšie použitie: áno 
 • napájanie: 9V (6LR61) batéria, nie je príslušenstvom 
 • rozmery: ∅3,7 x 16 cm 
 • hmotnosť: 120 g</t>
        </is>
      </c>
    </row>
    <row r="217">
      <c r="A217" s="3" t="inlineStr">
        <is>
          <t>IN 25342</t>
        </is>
      </c>
      <c r="B217" s="2" t="inlineStr">
        <is>
          <t>Odpudzovač pavúkov, ultrazvukový</t>
        </is>
      </c>
      <c r="C217" s="1" t="n">
        <v>29.39</v>
      </c>
      <c r="D217" s="7" t="n">
        <f>HYPERLINK("https://www.somogyi.sk/product/odpudzovac-pavukov-ultrazvukovy-in-25342-16873","https://www.somogyi.sk/product/odpudzovac-pavukov-ultrazvukovy-in-25342-16873")</f>
        <v>0.0</v>
      </c>
      <c r="E217" s="7" t="n">
        <f>HYPERLINK("https://www.somogyi.sk/data/img/product_main_images/small/16873.jpg","https://www.somogyi.sk/data/img/product_main_images/small/16873.jpg")</f>
        <v>0.0</v>
      </c>
      <c r="F217" s="2" t="inlineStr">
        <is>
          <t>7350007336712</t>
        </is>
      </c>
      <c r="G217" s="4" t="inlineStr">
        <is>
          <t xml:space="preserve"> • účinný proti: pavúk 
 • materiál: kov, plast 
 • senzor pohybu: nie 
 • dosah: 30 m² 
 • na vonkajšie použitie: nie 
 • napájanie: 230 V~ / 1 W 
 • rozmery: 6,2 x 8,5 x 6,4 cm</t>
        </is>
      </c>
    </row>
    <row r="218">
      <c r="A218" s="6" t="inlineStr">
        <is>
          <t xml:space="preserve">   Odpudzovač hmyzu a hlodavcov / Sieťka proti komárom</t>
        </is>
      </c>
      <c r="B218" s="6" t="inlineStr">
        <is>
          <t/>
        </is>
      </c>
      <c r="C218" s="6" t="inlineStr">
        <is>
          <t/>
        </is>
      </c>
      <c r="D218" s="6" t="inlineStr">
        <is>
          <t/>
        </is>
      </c>
      <c r="E218" s="6" t="inlineStr">
        <is>
          <t/>
        </is>
      </c>
      <c r="F218" s="6" t="inlineStr">
        <is>
          <t/>
        </is>
      </c>
      <c r="G218" s="6" t="inlineStr">
        <is>
          <t/>
        </is>
      </c>
    </row>
    <row r="219">
      <c r="A219" s="3" t="inlineStr">
        <is>
          <t>IN 22455</t>
        </is>
      </c>
      <c r="B219" s="2" t="inlineStr">
        <is>
          <t>Sieťka proti komárom na dvere</t>
        </is>
      </c>
      <c r="C219" s="1" t="n">
        <v>12.59</v>
      </c>
      <c r="D219" s="7" t="n">
        <f>HYPERLINK("https://www.somogyi.sk/product/sietka-proti-komarom-na-dvere-in-22455-16898","https://www.somogyi.sk/product/sietka-proti-komarom-na-dvere-in-22455-16898")</f>
        <v>0.0</v>
      </c>
      <c r="E219" s="7" t="n">
        <f>HYPERLINK("https://www.somogyi.sk/data/img/product_main_images/small/16898.jpg","https://www.somogyi.sk/data/img/product_main_images/small/16898.jpg")</f>
        <v>0.0</v>
      </c>
      <c r="F219" s="2" t="inlineStr">
        <is>
          <t>7350007336972</t>
        </is>
      </c>
      <c r="G219" s="4" t="inlineStr">
        <is>
          <t xml:space="preserve"> • rozmery: 75 x 250 cm 
 •  
 • účinný proti: komár 
 • balenie: 2 ks/krabica</t>
        </is>
      </c>
    </row>
    <row r="220">
      <c r="A220" s="3" t="inlineStr">
        <is>
          <t>ISM 90210</t>
        </is>
      </c>
      <c r="B220" s="2" t="inlineStr">
        <is>
          <t>Magnetická sieťka proti hmyzu 90 x 210 cm</t>
        </is>
      </c>
      <c r="C220" s="1" t="n">
        <v>15.29</v>
      </c>
      <c r="D220" s="7" t="n">
        <f>HYPERLINK("https://www.somogyi.sk/product/magneticka-sietka-proti-hmyzu-90-x-210-cm-ism-90210-17599","https://www.somogyi.sk/product/magneticka-sietka-proti-hmyzu-90-x-210-cm-ism-90210-17599")</f>
        <v>0.0</v>
      </c>
      <c r="E220" s="7" t="n">
        <f>HYPERLINK("https://www.somogyi.sk/data/img/product_main_images/small/17599.jpg","https://www.somogyi.sk/data/img/product_main_images/small/17599.jpg")</f>
        <v>0.0</v>
      </c>
      <c r="F220" s="2" t="inlineStr">
        <is>
          <t>5999084956219</t>
        </is>
      </c>
      <c r="G220" s="4" t="inlineStr">
        <is>
          <t xml:space="preserve"> • ďalšie informácie: jednoduchá inštalácia / magnetické zatváranie</t>
        </is>
      </c>
    </row>
    <row r="221">
      <c r="A221" s="6" t="inlineStr">
        <is>
          <t xml:space="preserve">   Domáce spotrebiče / Drvič</t>
        </is>
      </c>
      <c r="B221" s="6" t="inlineStr">
        <is>
          <t/>
        </is>
      </c>
      <c r="C221" s="6" t="inlineStr">
        <is>
          <t/>
        </is>
      </c>
      <c r="D221" s="6" t="inlineStr">
        <is>
          <t/>
        </is>
      </c>
      <c r="E221" s="6" t="inlineStr">
        <is>
          <t/>
        </is>
      </c>
      <c r="F221" s="6" t="inlineStr">
        <is>
          <t/>
        </is>
      </c>
      <c r="G221" s="6" t="inlineStr">
        <is>
          <t/>
        </is>
      </c>
    </row>
    <row r="222">
      <c r="A222" s="3" t="inlineStr">
        <is>
          <t>S501GW</t>
        </is>
      </c>
      <c r="B222" s="2" t="inlineStr">
        <is>
          <t>Sekáčik Gorenje, 500 W</t>
        </is>
      </c>
      <c r="C222" s="1" t="n">
        <v>31.19</v>
      </c>
      <c r="D222" s="7" t="n">
        <f>HYPERLINK("https://www.somogyi.sk/product/sekacik-gorenje-500-w-s501gw-18297","https://www.somogyi.sk/product/sekacik-gorenje-500-w-s501gw-18297")</f>
        <v>0.0</v>
      </c>
      <c r="E222" s="7" t="n">
        <f>HYPERLINK("https://www.somogyi.sk/data/img/product_main_images/small/18297.jpg","https://www.somogyi.sk/data/img/product_main_images/small/18297.jpg")</f>
        <v>0.0</v>
      </c>
      <c r="F222" s="2" t="inlineStr">
        <is>
          <t>3838782606762</t>
        </is>
      </c>
      <c r="G222" s="4" t="inlineStr">
        <is>
          <t xml:space="preserve"> • výkon: 500 W 
 • tlačidlo ON/OFF 
 • dvojitá čepeľ vysokej kvality z nehrdzavejúcej ocele 
 • nádoba s odmerkou 
 • možno umývať v umývačke riadu 
 • biela</t>
        </is>
      </c>
    </row>
    <row r="223">
      <c r="A223" s="3" t="inlineStr">
        <is>
          <t>HG AP 18</t>
        </is>
      </c>
      <c r="B223" s="2" t="inlineStr">
        <is>
          <t>Multifunkčný sekáč, 1,8L, 400 W</t>
        </is>
      </c>
      <c r="C223" s="1" t="n">
        <v>47.39</v>
      </c>
      <c r="D223" s="7" t="n">
        <f>HYPERLINK("https://www.somogyi.sk/product/multifunkcny-sekac-1-8l-400-w-hg-ap-18-18052","https://www.somogyi.sk/product/multifunkcny-sekac-1-8l-400-w-hg-ap-18-18052")</f>
        <v>0.0</v>
      </c>
      <c r="E223" s="7" t="n">
        <f>HYPERLINK("https://www.somogyi.sk/data/img/product_main_images/small/18052.jpg","https://www.somogyi.sk/data/img/product_main_images/small/18052.jpg")</f>
        <v>0.0</v>
      </c>
      <c r="F223" s="2" t="inlineStr">
        <is>
          <t>5999084960742</t>
        </is>
      </c>
      <c r="G223" s="4" t="inlineStr">
        <is>
          <t xml:space="preserve"> • výkon: 400 W 
 • kapacita: 1,8 l 
 • nôž: nehrdzavejúca oceľ 
 • napájanie: 220-240 V~ / 50 Hz 
 • rozmery: 218 x 258 x 180 mm</t>
        </is>
      </c>
    </row>
    <row r="224">
      <c r="A224" s="3" t="inlineStr">
        <is>
          <t>HG AP 13</t>
        </is>
      </c>
      <c r="B224" s="2" t="inlineStr">
        <is>
          <t>Sekáč, sklenená nádoba, 320 W</t>
        </is>
      </c>
      <c r="C224" s="1" t="n">
        <v>29.79</v>
      </c>
      <c r="D224" s="7" t="n">
        <f>HYPERLINK("https://www.somogyi.sk/product/sekac-sklenena-nadoba-320-w-hg-ap-13-15239","https://www.somogyi.sk/product/sekac-sklenena-nadoba-320-w-hg-ap-13-15239")</f>
        <v>0.0</v>
      </c>
      <c r="E224" s="7" t="n">
        <f>HYPERLINK("https://www.somogyi.sk/data/img/product_main_images/small/15239.jpg","https://www.somogyi.sk/data/img/product_main_images/small/15239.jpg")</f>
        <v>0.0</v>
      </c>
      <c r="F224" s="2" t="inlineStr">
        <is>
          <t>5999084932732</t>
        </is>
      </c>
      <c r="G224" s="4" t="inlineStr">
        <is>
          <t xml:space="preserve"> • výkon: 320 W 
 • kapacita: 1 l, sklenená nádoba 
 • nôž: nehrdzavejúca 
 • napájanie: 230 V~ 
 • rozmery: 19 x 22 x 16 cm 
 • hmotnosť: 1,7 kg</t>
        </is>
      </c>
    </row>
    <row r="225">
      <c r="A225" s="3" t="inlineStr">
        <is>
          <t>C-13</t>
        </is>
      </c>
      <c r="B225" s="2" t="inlineStr">
        <is>
          <t>Drvič</t>
        </is>
      </c>
      <c r="C225" s="1" t="n">
        <v>22.99</v>
      </c>
      <c r="D225" s="7" t="n">
        <f>HYPERLINK("https://www.somogyi.sk/product/drvic-c-13-10387","https://www.somogyi.sk/product/drvic-c-13-10387")</f>
        <v>0.0</v>
      </c>
      <c r="E225" s="7" t="n">
        <f>HYPERLINK("https://www.somogyi.sk/data/img/product_main_images/small/10387.jpg","https://www.somogyi.sk/data/img/product_main_images/small/10387.jpg")</f>
        <v>0.0</v>
      </c>
      <c r="F225" s="2" t="inlineStr">
        <is>
          <t>5998777335768</t>
        </is>
      </c>
      <c r="G225" s="4" t="inlineStr">
        <is>
          <t xml:space="preserve"> • výkon: 300 W 
 • kapacita: 1 L 
 • protišmyková podložka: áno 
 • uzamykací systém: bezpečnostný 
 • nôž: nerezový 
 • napájanie: 230 V~ / 50 Hz</t>
        </is>
      </c>
    </row>
    <row r="226">
      <c r="A226" s="3" t="inlineStr">
        <is>
          <t>HGAP15</t>
        </is>
      </c>
      <c r="B226" s="2" t="inlineStr">
        <is>
          <t>Sekáč so sklenenou nádobou</t>
        </is>
      </c>
      <c r="C226" s="1" t="n">
        <v>32.89</v>
      </c>
      <c r="D226" s="7" t="n">
        <f>HYPERLINK("https://www.somogyi.sk/product/sekac-so-sklenenou-nadobou-hgap15-18444","https://www.somogyi.sk/product/sekac-so-sklenenou-nadobou-hgap15-18444")</f>
        <v>0.0</v>
      </c>
      <c r="E226" s="7" t="n">
        <f>HYPERLINK("https://www.somogyi.sk/data/img/product_main_images/small/18444.jpg","https://www.somogyi.sk/data/img/product_main_images/small/18444.jpg")</f>
        <v>0.0</v>
      </c>
      <c r="F226" s="2" t="inlineStr">
        <is>
          <t>5999084964627</t>
        </is>
      </c>
      <c r="G226" s="4" t="inlineStr">
        <is>
          <t xml:space="preserve"> • výkon: 400 W 
 • kapacita: 1,8 l 
 • nôž: nehrdzavejúci 
 • napájanie: 230 V~ / 50 Hz 
 • rozmery: 22,5 x 25,5 x 18 cm</t>
        </is>
      </c>
    </row>
    <row r="227">
      <c r="A227" s="6" t="inlineStr">
        <is>
          <t xml:space="preserve">   Domáce spotrebiče / Sušička potravín</t>
        </is>
      </c>
      <c r="B227" s="6" t="inlineStr">
        <is>
          <t/>
        </is>
      </c>
      <c r="C227" s="6" t="inlineStr">
        <is>
          <t/>
        </is>
      </c>
      <c r="D227" s="6" t="inlineStr">
        <is>
          <t/>
        </is>
      </c>
      <c r="E227" s="6" t="inlineStr">
        <is>
          <t/>
        </is>
      </c>
      <c r="F227" s="6" t="inlineStr">
        <is>
          <t/>
        </is>
      </c>
      <c r="G227" s="6" t="inlineStr">
        <is>
          <t/>
        </is>
      </c>
    </row>
    <row r="228">
      <c r="A228" s="3" t="inlineStr">
        <is>
          <t>HG ASZ 5</t>
        </is>
      </c>
      <c r="B228" s="2" t="inlineStr">
        <is>
          <t>Sušička, 250 W</t>
        </is>
      </c>
      <c r="C228" s="1" t="n">
        <v>45.59</v>
      </c>
      <c r="D228" s="7" t="n">
        <f>HYPERLINK("https://www.somogyi.sk/product/susicka-250-w-hg-asz-5-18054","https://www.somogyi.sk/product/susicka-250-w-hg-asz-5-18054")</f>
        <v>0.0</v>
      </c>
      <c r="E228" s="7" t="n">
        <f>HYPERLINK("https://www.somogyi.sk/data/img/product_main_images/small/18054.jpg","https://www.somogyi.sk/data/img/product_main_images/small/18054.jpg")</f>
        <v>0.0</v>
      </c>
      <c r="F228" s="2" t="inlineStr">
        <is>
          <t>5999084960766</t>
        </is>
      </c>
      <c r="G228" s="4" t="inlineStr">
        <is>
          <t xml:space="preserve"> • výkon: 400 W 
 • počet táciek: 5 ks 
 • teplota sušenia: medzi 35-70°C 
 • napájanie: 230 V~ / 50 Hz 
 • rozmery: 31 x 21 x 25 cm 
 • hlučnosť: 68 dB(A)</t>
        </is>
      </c>
    </row>
    <row r="229">
      <c r="A229" s="6" t="inlineStr">
        <is>
          <t xml:space="preserve">   Domáce spotrebiče / Miesič</t>
        </is>
      </c>
      <c r="B229" s="6" t="inlineStr">
        <is>
          <t/>
        </is>
      </c>
      <c r="C229" s="6" t="inlineStr">
        <is>
          <t/>
        </is>
      </c>
      <c r="D229" s="6" t="inlineStr">
        <is>
          <t/>
        </is>
      </c>
      <c r="E229" s="6" t="inlineStr">
        <is>
          <t/>
        </is>
      </c>
      <c r="F229" s="6" t="inlineStr">
        <is>
          <t/>
        </is>
      </c>
      <c r="G229" s="6" t="inlineStr">
        <is>
          <t/>
        </is>
      </c>
    </row>
    <row r="230">
      <c r="A230" s="3" t="inlineStr">
        <is>
          <t>HGDG800</t>
        </is>
      </c>
      <c r="B230" s="2" t="inlineStr">
        <is>
          <t>Kuchynský robot  DC 800W, 6L</t>
        </is>
      </c>
      <c r="C230" s="1" t="n">
        <v>127.9</v>
      </c>
      <c r="D230" s="7" t="n">
        <f>HYPERLINK("https://www.somogyi.sk/product/kuchynsky-robot-dc-800w-6l-hgdg800-18856","https://www.somogyi.sk/product/kuchynsky-robot-dc-800w-6l-hgdg800-18856")</f>
        <v>0.0</v>
      </c>
      <c r="E230" s="7" t="n">
        <f>HYPERLINK("https://www.somogyi.sk/data/img/product_main_images/small/18856.jpg","https://www.somogyi.sk/data/img/product_main_images/small/18856.jpg")</f>
        <v>0.0</v>
      </c>
      <c r="F230" s="2" t="inlineStr">
        <is>
          <t>5999084968625</t>
        </is>
      </c>
      <c r="G230" s="4" t="inlineStr">
        <is>
          <t xml:space="preserve"> • výkon: 800 W 
 • príslušenstvo: hnetací, šľahací, miešací nástavec 
 • napájanie: 220-240V~ 50-60Hz 
 • rozmery: 36 x 32 x 23 cm 
 • hmotnosť: 4,2 kg 
 • objem: 6 l 
 •  
 • hlučnosť: 60 dB(A) 
 • charakteristiky: hladký chod bez vibrácií • otváracia hlavová časť • nožicky s prísavkami 
 • držiak kábla: áno 
 • ďalšie informácie: digitálne počítadlo s bielym LED displejom</t>
        </is>
      </c>
    </row>
    <row r="231">
      <c r="A231" s="6" t="inlineStr">
        <is>
          <t xml:space="preserve">   Domáce spotrebiče / Zváračka fólií</t>
        </is>
      </c>
      <c r="B231" s="6" t="inlineStr">
        <is>
          <t/>
        </is>
      </c>
      <c r="C231" s="6" t="inlineStr">
        <is>
          <t/>
        </is>
      </c>
      <c r="D231" s="6" t="inlineStr">
        <is>
          <t/>
        </is>
      </c>
      <c r="E231" s="6" t="inlineStr">
        <is>
          <t/>
        </is>
      </c>
      <c r="F231" s="6" t="inlineStr">
        <is>
          <t/>
        </is>
      </c>
      <c r="G231" s="6" t="inlineStr">
        <is>
          <t/>
        </is>
      </c>
    </row>
    <row r="232">
      <c r="A232" s="3" t="inlineStr">
        <is>
          <t>VB12/55</t>
        </is>
      </c>
      <c r="B232" s="2" t="inlineStr">
        <is>
          <t>Gorenje vrecká do vákuovačky</t>
        </is>
      </c>
      <c r="C232" s="1" t="n">
        <v>11.49</v>
      </c>
      <c r="D232" s="7" t="n">
        <f>HYPERLINK("https://www.somogyi.sk/product/gorenje-vrecka-do-vakuovacky-vb12-55-17191","https://www.somogyi.sk/product/gorenje-vrecka-do-vakuovacky-vb12-55-17191")</f>
        <v>0.0</v>
      </c>
      <c r="E232" s="7" t="n">
        <f>HYPERLINK("https://www.somogyi.sk/data/img/product_main_images/small/17191.jpg","https://www.somogyi.sk/data/img/product_main_images/small/17191.jpg")</f>
        <v>0.0</v>
      </c>
      <c r="F232" s="2" t="inlineStr">
        <is>
          <t>3838942741173</t>
        </is>
      </c>
      <c r="G232" s="4" t="inlineStr">
        <is>
          <t xml:space="preserve"> • objem: 1 l 
 • balenie: 30 ks / balenie 
 • rozmery: 12 x 55 cm</t>
        </is>
      </c>
    </row>
    <row r="233">
      <c r="A233" s="3" t="inlineStr">
        <is>
          <t>VB12/55</t>
        </is>
      </c>
      <c r="B233" s="2" t="inlineStr">
        <is>
          <t>Gorenje vrecká do vákuovačky</t>
        </is>
      </c>
      <c r="C233" s="1" t="n">
        <v>14.79</v>
      </c>
      <c r="D233" s="7" t="n">
        <f>HYPERLINK("https://www.somogyi.sk/product/gorenje-vrecka-do-vakuovacky-vb12-55-17191","https://www.somogyi.sk/product/gorenje-vrecka-do-vakuovacky-vb12-55-17191")</f>
        <v>0.0</v>
      </c>
      <c r="E233" s="7" t="n">
        <f>HYPERLINK("https://www.somogyi.sk/data/img/product_main_images/small/17191.jpg","https://www.somogyi.sk/data/img/product_main_images/small/17191.jpg")</f>
        <v>0.0</v>
      </c>
      <c r="F233" s="2" t="inlineStr">
        <is>
          <t>3838942741173</t>
        </is>
      </c>
      <c r="G233" s="4" t="inlineStr">
        <is>
          <t xml:space="preserve"> • objem: 1 l 
 • balenie: 30 ks / balenie 
 • rozmery: 12 x 55 cm</t>
        </is>
      </c>
    </row>
    <row r="234">
      <c r="A234" s="3" t="inlineStr">
        <is>
          <t>VB28/300</t>
        </is>
      </c>
      <c r="B234" s="2" t="inlineStr">
        <is>
          <t>Gorenje vrecká do vákuovačky</t>
        </is>
      </c>
      <c r="C234" s="1" t="n">
        <v>16.19</v>
      </c>
      <c r="D234" s="7" t="n">
        <f>HYPERLINK("https://www.somogyi.sk/product/gorenje-vrecka-do-vakuovacky-vb28-300-17192","https://www.somogyi.sk/product/gorenje-vrecka-do-vakuovacky-vb28-300-17192")</f>
        <v>0.0</v>
      </c>
      <c r="E234" s="7" t="n">
        <f>HYPERLINK("https://www.somogyi.sk/data/img/product_main_images/small/17192.jpg","https://www.somogyi.sk/data/img/product_main_images/small/17192.jpg")</f>
        <v>0.0</v>
      </c>
      <c r="F234" s="2" t="inlineStr">
        <is>
          <t>3838942741166</t>
        </is>
      </c>
      <c r="G234" s="4" t="inlineStr">
        <is>
          <t xml:space="preserve"> • objem: 2 l 
 • balenie: 3 ks / balenie 
 • rozmery: 28 x 300 cm</t>
        </is>
      </c>
    </row>
    <row r="235">
      <c r="A235" s="3" t="inlineStr">
        <is>
          <t>VB28/300</t>
        </is>
      </c>
      <c r="B235" s="2" t="inlineStr">
        <is>
          <t>Gorenje vrecká do vákuovačky</t>
        </is>
      </c>
      <c r="C235" s="1" t="n">
        <v>12.99</v>
      </c>
      <c r="D235" s="7" t="n">
        <f>HYPERLINK("https://www.somogyi.sk/product/gorenje-vrecka-do-vakuovacky-vb28-300-17192","https://www.somogyi.sk/product/gorenje-vrecka-do-vakuovacky-vb28-300-17192")</f>
        <v>0.0</v>
      </c>
      <c r="E235" s="7" t="n">
        <f>HYPERLINK("https://www.somogyi.sk/data/img/product_main_images/small/17192.jpg","https://www.somogyi.sk/data/img/product_main_images/small/17192.jpg")</f>
        <v>0.0</v>
      </c>
      <c r="F235" s="2" t="inlineStr">
        <is>
          <t>3838942741166</t>
        </is>
      </c>
      <c r="G235" s="4" t="inlineStr">
        <is>
          <t xml:space="preserve"> • objem: 2 l 
 • balenie: 3 ks / balenie 
 • rozmery: 28 x 300 cm</t>
        </is>
      </c>
    </row>
    <row r="236">
      <c r="A236" s="3" t="inlineStr">
        <is>
          <t>HGFH10</t>
        </is>
      </c>
      <c r="B236" s="2" t="inlineStr">
        <is>
          <t>Vákuová zváračka fólií, 30 cm, -0,7bar, 130 W</t>
        </is>
      </c>
      <c r="C236" s="1" t="n">
        <v>76.89</v>
      </c>
      <c r="D236" s="7" t="n">
        <f>HYPERLINK("https://www.somogyi.sk/product/vakuova-zvaracka-folii-30-cm-0-7bar-130-w-hgfh10-18567","https://www.somogyi.sk/product/vakuova-zvaracka-folii-30-cm-0-7bar-130-w-hgfh10-18567")</f>
        <v>0.0</v>
      </c>
      <c r="E236" s="7" t="n">
        <f>HYPERLINK("https://www.somogyi.sk/data/img/product_main_images/small/18567.jpg","https://www.somogyi.sk/data/img/product_main_images/small/18567.jpg")</f>
        <v>0.0</v>
      </c>
      <c r="F236" s="2" t="inlineStr">
        <is>
          <t>5999084965853</t>
        </is>
      </c>
      <c r="G236" s="4" t="inlineStr">
        <is>
          <t xml:space="preserve"> • výkon: 130 W 
 • vákuové odsávanie: automatické a manuálne vákuovanie 
 • príslušenstvo: 5 ks 20 x 30 cm sáčky 
 • N/A: HGF2030, HGF2840, HGF28500 
 • hlučnosť: &lt; 68 dB(A) 
 • napájanie: 220-240 V~, 50-60 Hz 
 • rozmery: 389 x 84 x 150 mm 
 • hmotnosť: 1399 g</t>
        </is>
      </c>
    </row>
    <row r="237">
      <c r="A237" s="3" t="inlineStr">
        <is>
          <t>VS120W</t>
        </is>
      </c>
      <c r="B237" s="2" t="inlineStr">
        <is>
          <t>Gorenje vákuovačka</t>
        </is>
      </c>
      <c r="C237" s="1" t="n">
        <v>60.99</v>
      </c>
      <c r="D237" s="7" t="n">
        <f>HYPERLINK("https://www.somogyi.sk/product/gorenje-vakuovacka-vs120w-17190","https://www.somogyi.sk/product/gorenje-vakuovacka-vs120w-17190")</f>
        <v>0.0</v>
      </c>
      <c r="E237" s="7" t="n">
        <f>HYPERLINK("https://www.somogyi.sk/data/img/product_main_images/small/17190.jpg","https://www.somogyi.sk/data/img/product_main_images/small/17190.jpg")</f>
        <v>0.0</v>
      </c>
      <c r="F237" s="2" t="inlineStr">
        <is>
          <t>3838782060854</t>
        </is>
      </c>
      <c r="G237" s="4" t="inlineStr">
        <is>
          <t xml:space="preserve"> • výkon: 120 W 
 • vákuové odsávanie: áno 
 • napájanie: 230 V~ / 50 Hz 
 • rozmery: 38 x 5,9 x 15,2 cm 
 • hmotnosť: 1,4 kg</t>
        </is>
      </c>
    </row>
    <row r="238">
      <c r="A238" s="3" t="inlineStr">
        <is>
          <t>HGFH01</t>
        </is>
      </c>
      <c r="B238" s="2" t="inlineStr">
        <is>
          <t>Vákuová zváračka fólií, 30 cm, -0,8bar, 110 W</t>
        </is>
      </c>
      <c r="C238" s="1" t="n">
        <v>47.89</v>
      </c>
      <c r="D238" s="7" t="n">
        <f>HYPERLINK("https://www.somogyi.sk/product/vakuova-zvaracka-folii-30-cm-0-8bar-110-w-hgfh01-18566","https://www.somogyi.sk/product/vakuova-zvaracka-folii-30-cm-0-8bar-110-w-hgfh01-18566")</f>
        <v>0.0</v>
      </c>
      <c r="E238" s="7" t="n">
        <f>HYPERLINK("https://www.somogyi.sk/data/img/product_main_images/small/18566.jpg","https://www.somogyi.sk/data/img/product_main_images/small/18566.jpg")</f>
        <v>0.0</v>
      </c>
      <c r="F238" s="2" t="inlineStr">
        <is>
          <t>5999084965846</t>
        </is>
      </c>
      <c r="G238" s="4" t="inlineStr">
        <is>
          <t xml:space="preserve"> • výkon: 110 W 
 • vákuové odsávanie: automatické a manuálne vákuovanie 
 • príslušenstvo: mini rezačka fólie, vákuová trubica, 5 sáčkov 20 x 30 cm 
 • N/A: HGF2030, HGF2840, HGF28500 
 • hlučnosť: &lt; 68 dB(A) 
 • napájanie: 220-240 V~, 50-60 Hz 
 • rozmery: 240 x 255 x 180 mm 
 • hmotnosť: 952 g</t>
        </is>
      </c>
    </row>
    <row r="239">
      <c r="A239" s="3" t="inlineStr">
        <is>
          <t>HGF2840</t>
        </is>
      </c>
      <c r="B239" s="2" t="inlineStr">
        <is>
          <t>Vákuové fóliové vrecko, 28 x 40 cm, 50 ks</t>
        </is>
      </c>
      <c r="C239" s="1" t="n">
        <v>17.99</v>
      </c>
      <c r="D239" s="7" t="n">
        <f>HYPERLINK("https://www.somogyi.sk/product/vakuove-foliove-vrecko-28-x-40-cm-50-ks-hgf2840-18576","https://www.somogyi.sk/product/vakuove-foliove-vrecko-28-x-40-cm-50-ks-hgf2840-18576")</f>
        <v>0.0</v>
      </c>
      <c r="E239" s="7" t="n">
        <f>HYPERLINK("https://www.somogyi.sk/data/img/product_main_images/small/18576.jpg","https://www.somogyi.sk/data/img/product_main_images/small/18576.jpg")</f>
        <v>0.0</v>
      </c>
      <c r="F239" s="2" t="inlineStr">
        <is>
          <t>5999084965945</t>
        </is>
      </c>
      <c r="G239" s="4" t="inlineStr">
        <is>
          <t xml:space="preserve"> • pre vákuové zváračky fólií HGFH10 a HGFH01 
 • sú vyrobené z materiálu bezpečného pre potraviny 
 • vhodné do mikrovlnnej rúry 
 • vhodné do mrazničky 
 • rozmery: 20x40 cm 
 • množstvo: 50 ks 
 • farba: transparentná 
 • materiál: PE + silikón</t>
        </is>
      </c>
    </row>
    <row r="240">
      <c r="A240" s="3" t="inlineStr">
        <is>
          <t>VS120W</t>
        </is>
      </c>
      <c r="B240" s="2" t="inlineStr">
        <is>
          <t>Gorenje vákuovačka</t>
        </is>
      </c>
      <c r="C240" s="1" t="n">
        <v>70.59</v>
      </c>
      <c r="D240" s="7" t="n">
        <f>HYPERLINK("https://www.somogyi.sk/product/gorenje-vakuovacka-vs120w-17190","https://www.somogyi.sk/product/gorenje-vakuovacka-vs120w-17190")</f>
        <v>0.0</v>
      </c>
      <c r="E240" s="7" t="n">
        <f>HYPERLINK("https://www.somogyi.sk/data/img/product_main_images/small/17190.jpg","https://www.somogyi.sk/data/img/product_main_images/small/17190.jpg")</f>
        <v>0.0</v>
      </c>
      <c r="F240" s="2" t="inlineStr">
        <is>
          <t>3838782060854</t>
        </is>
      </c>
      <c r="G240" s="4" t="inlineStr">
        <is>
          <t xml:space="preserve"> • výkon: 120 W 
 • vákuové odsávanie: áno 
 • napájanie: 230 V~ / 50 Hz 
 • rozmery: 38 x 5,9 x 15,2 cm 
 • hmotnosť: 1,4 kg</t>
        </is>
      </c>
    </row>
    <row r="241">
      <c r="A241" s="3" t="inlineStr">
        <is>
          <t>HGF28500</t>
        </is>
      </c>
      <c r="B241" s="2" t="inlineStr">
        <is>
          <t>Vákuová fóliová rolka, 28 x 500 cm, 2 kotúče</t>
        </is>
      </c>
      <c r="C241" s="1" t="n">
        <v>9.29</v>
      </c>
      <c r="D241" s="7" t="n">
        <f>HYPERLINK("https://www.somogyi.sk/product/vakuova-foliova-rolka-28-x-500-cm-2-kotuce-hgf28500-18577","https://www.somogyi.sk/product/vakuova-foliova-rolka-28-x-500-cm-2-kotuce-hgf28500-18577")</f>
        <v>0.0</v>
      </c>
      <c r="E241" s="7" t="n">
        <f>HYPERLINK("https://www.somogyi.sk/data/img/product_main_images/small/18577.jpg","https://www.somogyi.sk/data/img/product_main_images/small/18577.jpg")</f>
        <v>0.0</v>
      </c>
      <c r="F241" s="2" t="inlineStr">
        <is>
          <t>5999084965952</t>
        </is>
      </c>
      <c r="G241" s="4" t="inlineStr">
        <is>
          <t xml:space="preserve"> • pre vákuové zváračky fólií HGFH10 a HGFH01 
 • kompatibilné s vnútorným držiakom vákuovej zváračky fólií HGFH10 
 • kotúče sú vyrobené z materiálu bezpečného pre potraviny 
 • vhodné do mikrovlnnej rúry 
 • vhodné do mrazničky 
 • rozmery: 28x500 cm 
 • množstvo: 2 kotúče 
 • farba: transparentná 
 • materiál: PE + silikón</t>
        </is>
      </c>
    </row>
    <row r="242">
      <c r="A242" s="3" t="inlineStr">
        <is>
          <t>HGF2030</t>
        </is>
      </c>
      <c r="B242" s="2" t="inlineStr">
        <is>
          <t>Vákuové fóliové vrecko, 20 x 30 cm, 50 ks</t>
        </is>
      </c>
      <c r="C242" s="1" t="n">
        <v>10.19</v>
      </c>
      <c r="D242" s="7" t="n">
        <f>HYPERLINK("https://www.somogyi.sk/product/vakuove-foliove-vrecko-20-x-30-cm-50-ks-hgf2030-18575","https://www.somogyi.sk/product/vakuove-foliove-vrecko-20-x-30-cm-50-ks-hgf2030-18575")</f>
        <v>0.0</v>
      </c>
      <c r="E242" s="7" t="n">
        <f>HYPERLINK("https://www.somogyi.sk/data/img/product_main_images/small/18575.jpg","https://www.somogyi.sk/data/img/product_main_images/small/18575.jpg")</f>
        <v>0.0</v>
      </c>
      <c r="F242" s="2" t="inlineStr">
        <is>
          <t>5999084965938</t>
        </is>
      </c>
      <c r="G242" s="4" t="inlineStr">
        <is>
          <t xml:space="preserve"> • N/A: áno 
 • N/A: áno 
 • rozmery: 20 x 30 cm 
 • N/A: 50 ks 
 • farba: priesvietný 
 • N/A: PE   silikón</t>
        </is>
      </c>
    </row>
    <row r="243">
      <c r="A243" s="6" t="inlineStr">
        <is>
          <t xml:space="preserve">   Domáce spotrebiče / Odšťavovač</t>
        </is>
      </c>
      <c r="B243" s="6" t="inlineStr">
        <is>
          <t/>
        </is>
      </c>
      <c r="C243" s="6" t="inlineStr">
        <is>
          <t/>
        </is>
      </c>
      <c r="D243" s="6" t="inlineStr">
        <is>
          <t/>
        </is>
      </c>
      <c r="E243" s="6" t="inlineStr">
        <is>
          <t/>
        </is>
      </c>
      <c r="F243" s="6" t="inlineStr">
        <is>
          <t/>
        </is>
      </c>
      <c r="G243" s="6" t="inlineStr">
        <is>
          <t/>
        </is>
      </c>
    </row>
    <row r="244">
      <c r="A244" s="3" t="inlineStr">
        <is>
          <t>JC805EII</t>
        </is>
      </c>
      <c r="B244" s="2" t="inlineStr">
        <is>
          <t>Gorenje odšťavovač</t>
        </is>
      </c>
      <c r="C244" s="1" t="n">
        <v>75.59</v>
      </c>
      <c r="D244" s="7" t="n">
        <f>HYPERLINK("https://www.somogyi.sk/product/gorenje-odstavovac-jc805eii-18028","https://www.somogyi.sk/product/gorenje-odstavovac-jc805eii-18028")</f>
        <v>0.0</v>
      </c>
      <c r="E244" s="7" t="n">
        <f>HYPERLINK("https://www.somogyi.sk/data/img/product_main_images/small/18028.jpg","https://www.somogyi.sk/data/img/product_main_images/small/18028.jpg")</f>
        <v>0.0</v>
      </c>
      <c r="F244" s="2" t="inlineStr">
        <is>
          <t>3838942074820</t>
        </is>
      </c>
      <c r="G244" s="4" t="inlineStr">
        <is>
          <t xml:space="preserve"> • výkon: 800 W 
 • rýchlostné stupne: 2 
 • nádoba na odpad: 1,5 l 
 • napájanie: 230 V~ / 50 Hz 
 • rozmery: 29 x 39,8 x 21 cm 
 • hmotnosť: 3,7 kg</t>
        </is>
      </c>
    </row>
    <row r="245">
      <c r="A245" s="6" t="inlineStr">
        <is>
          <t xml:space="preserve">   Domáce spotrebiče / Mlynček na mäso</t>
        </is>
      </c>
      <c r="B245" s="6" t="inlineStr">
        <is>
          <t/>
        </is>
      </c>
      <c r="C245" s="6" t="inlineStr">
        <is>
          <t/>
        </is>
      </c>
      <c r="D245" s="6" t="inlineStr">
        <is>
          <t/>
        </is>
      </c>
      <c r="E245" s="6" t="inlineStr">
        <is>
          <t/>
        </is>
      </c>
      <c r="F245" s="6" t="inlineStr">
        <is>
          <t/>
        </is>
      </c>
      <c r="G245" s="6" t="inlineStr">
        <is>
          <t/>
        </is>
      </c>
    </row>
    <row r="246">
      <c r="A246" s="3" t="inlineStr">
        <is>
          <t>HG HD 1300</t>
        </is>
      </c>
      <c r="B246" s="2" t="inlineStr">
        <is>
          <t>Mlynček na mäso, 1300 W</t>
        </is>
      </c>
      <c r="C246" s="1" t="n">
        <v>63.09</v>
      </c>
      <c r="D246" s="7" t="n">
        <f>HYPERLINK("https://www.somogyi.sk/product/mlyncek-na-maso-1300-w-hg-hd-1300-16641","https://www.somogyi.sk/product/mlyncek-na-maso-1300-w-hg-hd-1300-16641")</f>
        <v>0.0</v>
      </c>
      <c r="E246" s="7" t="n">
        <f>HYPERLINK("https://www.somogyi.sk/data/img/product_main_images/small/16641.jpg","https://www.somogyi.sk/data/img/product_main_images/small/16641.jpg")</f>
        <v>0.0</v>
      </c>
      <c r="F246" s="2" t="inlineStr">
        <is>
          <t>5999084946739</t>
        </is>
      </c>
      <c r="G246" s="4" t="inlineStr">
        <is>
          <t xml:space="preserve"> • výkon: 1300 W 
 • rezací nôž: nehrdzavejúca oceľ 
 • prevádzka vpred / späť: áno 
 • nástavec na prípravu kibbe: áno 
 • nástavec na prípravu klobásy / jaternice: áno 
 • napájanie: 230 V~  / 50 Hz 
 • rozmery: 260 x 154 x 304 mm 
 • hmotnosť: 3,4 kg</t>
        </is>
      </c>
    </row>
    <row r="247">
      <c r="A247" s="3" t="inlineStr">
        <is>
          <t>MG1601W</t>
        </is>
      </c>
      <c r="B247" s="2" t="inlineStr">
        <is>
          <t>Gorenje mlynček na mäso</t>
        </is>
      </c>
      <c r="C247" s="1" t="n">
        <v>78.69</v>
      </c>
      <c r="D247" s="7" t="n">
        <f>HYPERLINK("https://www.somogyi.sk/product/gorenje-mlyncek-na-maso-mg1601w-19045","https://www.somogyi.sk/product/gorenje-mlyncek-na-maso-mg1601w-19045")</f>
        <v>0.0</v>
      </c>
      <c r="E247" s="7" t="n">
        <f>HYPERLINK("https://www.somogyi.sk/data/img/product_main_images/small/19045.jpg","https://www.somogyi.sk/data/img/product_main_images/small/19045.jpg")</f>
        <v>0.0</v>
      </c>
      <c r="F247" s="2" t="inlineStr">
        <is>
          <t>3838782769665</t>
        </is>
      </c>
      <c r="G247" s="4" t="inlineStr">
        <is>
          <t xml:space="preserve"> • výkon: 1600 W 
 • rošt: 2 ks (3 mm a 8 mm) 
 • rezací nôž: nehrdzavejúci oceľ 
 • prevádzka vpred / späť: áno 
 • charakteristiky: protišmykové nožičky 
 • ochrana proti prehriatiu: áno 
 • ochrana proti preťaženiu: áno 
 • napájanie: 230 V~ / 50 Hz 
 • rozmery: 23 x 18 x 23 cm 
 • N/A: ~ 110 cm 
 • hmotnosť: 2,2 kg 
 • materiál: kov / plast 
 • kapacita: 2,2 kg/min. 
 • ďalšie informácie: funkcia okamžitého zastavenia motora</t>
        </is>
      </c>
    </row>
    <row r="248">
      <c r="A248" s="3" t="inlineStr">
        <is>
          <t>HG HD 1300/SZ</t>
        </is>
      </c>
      <c r="B248" s="2" t="inlineStr">
        <is>
          <t>Krájacia, sekacia sada k HG HD 1300</t>
        </is>
      </c>
      <c r="C248" s="1" t="n">
        <v>10.99</v>
      </c>
      <c r="D248" s="7" t="n">
        <f>HYPERLINK("https://www.somogyi.sk/product/krajacia-sekacia-sada-k-hg-hd-1300-hg-hd-1300-sz-16643","https://www.somogyi.sk/product/krajacia-sekacia-sada-k-hg-hd-1300-hg-hd-1300-sz-16643")</f>
        <v>0.0</v>
      </c>
      <c r="E248" s="7" t="n">
        <f>HYPERLINK("https://www.somogyi.sk/data/img/product_main_images/small/16643.jpg","https://www.somogyi.sk/data/img/product_main_images/small/16643.jpg")</f>
        <v>0.0</v>
      </c>
      <c r="F248" s="2" t="inlineStr">
        <is>
          <t>5999084946753</t>
        </is>
      </c>
      <c r="G248" s="4" t="inlineStr">
        <is>
          <t xml:space="preserve"> • rozmery: 90 x 105 x 220 mm</t>
        </is>
      </c>
    </row>
    <row r="249">
      <c r="A249" s="6" t="inlineStr">
        <is>
          <t xml:space="preserve">   Domáce spotrebiče / Hriankovač</t>
        </is>
      </c>
      <c r="B249" s="6" t="inlineStr">
        <is>
          <t/>
        </is>
      </c>
      <c r="C249" s="6" t="inlineStr">
        <is>
          <t/>
        </is>
      </c>
      <c r="D249" s="6" t="inlineStr">
        <is>
          <t/>
        </is>
      </c>
      <c r="E249" s="6" t="inlineStr">
        <is>
          <t/>
        </is>
      </c>
      <c r="F249" s="6" t="inlineStr">
        <is>
          <t/>
        </is>
      </c>
      <c r="G249" s="6" t="inlineStr">
        <is>
          <t/>
        </is>
      </c>
    </row>
    <row r="250">
      <c r="A250" s="3" t="inlineStr">
        <is>
          <t>T-214 O</t>
        </is>
      </c>
      <c r="B250" s="2" t="inlineStr">
        <is>
          <t>Hriankovač, oranžová</t>
        </is>
      </c>
      <c r="C250" s="1" t="n">
        <v>19.49</v>
      </c>
      <c r="D250" s="7" t="n">
        <f>HYPERLINK("https://www.somogyi.sk/product/hriankovac-oranzova-t-214-o-14702","https://www.somogyi.sk/product/hriankovac-oranzova-t-214-o-14702")</f>
        <v>0.0</v>
      </c>
      <c r="E250" s="7" t="n">
        <f>HYPERLINK("https://www.somogyi.sk/data/img/product_main_images/small/14702.jpg","https://www.somogyi.sk/data/img/product_main_images/small/14702.jpg")</f>
        <v>0.0</v>
      </c>
      <c r="F250" s="2" t="inlineStr">
        <is>
          <t>5998777338073</t>
        </is>
      </c>
      <c r="G250" s="4" t="inlineStr">
        <is>
          <t xml:space="preserve"> • farba: oranžová 
 • výkon: 1300 W 
 • počet plátkov: 4 
 • platne na pečenie: 2 dlhé 
 • regulovanie pečenia: plynulé 
 • automatické vyhadzovanie plátkov: áno 
 • tlačidlo zastavenia pečenia: áno 
 • tácka na omrvinky: odstrániteľná 
 • studené steny: áno 
 • držiak kábla: áno 
 • napájanie: 230 V~ / 50 Hz</t>
        </is>
      </c>
    </row>
    <row r="251">
      <c r="A251" s="3" t="inlineStr">
        <is>
          <t>HG KP 42</t>
        </is>
      </c>
      <c r="B251" s="2" t="inlineStr">
        <is>
          <t>Hriankovač, 1400 W, 4 plátky, cooltouch</t>
        </is>
      </c>
      <c r="C251" s="1" t="n">
        <v>29.39</v>
      </c>
      <c r="D251" s="7" t="n">
        <f>HYPERLINK("https://www.somogyi.sk/product/hriankovac-1400-w-4-platky-cooltouch-hg-kp-42-18199","https://www.somogyi.sk/product/hriankovac-1400-w-4-platky-cooltouch-hg-kp-42-18199")</f>
        <v>0.0</v>
      </c>
      <c r="E251" s="7" t="n">
        <f>HYPERLINK("https://www.somogyi.sk/data/img/product_main_images/small/18199.jpg","https://www.somogyi.sk/data/img/product_main_images/small/18199.jpg")</f>
        <v>0.0</v>
      </c>
      <c r="F251" s="2" t="inlineStr">
        <is>
          <t>5999084962210</t>
        </is>
      </c>
      <c r="G251" s="4" t="inlineStr">
        <is>
          <t xml:space="preserve"> • výkon: 1400 W 
 • počet plátkov: možnosť opekať naraz 4 plátky 
 • regulovanie pečenia: pečenie je možné nastaviť v 7 stupňoch 
 • automatické vyhadzovanie plátkov: áno 
 • tlačidlo zastavenia pečenia: tlačidlo CANCEL na zrušenie opekania 
 • tácka na omrvinky: jednoduché čistenie tácky na omrvinky 
 • napájanie: 220-240 V~ / 50/60 Hz 
 • rozmery: 38,2 x 14,4 x 17,2 cm 
 • príslušenstvo: ohrievač žemlí 
 • charakteristiky: inteligentné opekanie 
 • ďalšie informácie: automatické zarovnanie na stred • ochrana proti zaseknutiu chleba</t>
        </is>
      </c>
    </row>
    <row r="252">
      <c r="A252" s="3" t="inlineStr">
        <is>
          <t>MT-RP2L09W</t>
        </is>
      </c>
      <c r="B252" s="2" t="inlineStr">
        <is>
          <t>MIDEA hriankovač</t>
        </is>
      </c>
      <c r="C252" s="1" t="n">
        <v>22.69</v>
      </c>
      <c r="D252" s="7" t="n">
        <f>HYPERLINK("https://www.somogyi.sk/product/midea-hriankovac-mt-rp2l09w-17806","https://www.somogyi.sk/product/midea-hriankovac-mt-rp2l09w-17806")</f>
        <v>0.0</v>
      </c>
      <c r="E252" s="7" t="n">
        <f>HYPERLINK("https://www.somogyi.sk/data/img/product_main_images/small/17806.jpg","https://www.somogyi.sk/data/img/product_main_images/small/17806.jpg")</f>
        <v>0.0</v>
      </c>
      <c r="F252" s="2" t="inlineStr">
        <is>
          <t>6939962708485</t>
        </is>
      </c>
      <c r="G252" s="4" t="inlineStr">
        <is>
          <t xml:space="preserve"> • výkon: 800-950 W 
 • počet plátkov: 2 
 • regulovanie pečenia: 6 stupňov 
 • automatické vyhadzovanie plátkov: áno 
 • tlačidlo zastavenia pečenia: áno 
 • tácka na omrvinky: odnímateľný 
 • studené steny: áno 
 • držiak kábla: áno 
 • napájanie: 220-240 V~ / 50/60 Hz 
 • hmotnosť: 1,4 kg 
 • ďalšie informácie: zarovná chlieb do stredu • zabraňuje zaseknutiu chleba • protišmykové nožičky</t>
        </is>
      </c>
    </row>
    <row r="253">
      <c r="A253" s="3" t="inlineStr">
        <is>
          <t>HGKP22LCD</t>
        </is>
      </c>
      <c r="B253" s="2" t="inlineStr">
        <is>
          <t>Hriankovač s LCD displejom, 950 W, 2 plátky</t>
        </is>
      </c>
      <c r="C253" s="1" t="n">
        <v>35.69</v>
      </c>
      <c r="D253" s="7" t="n">
        <f>HYPERLINK("https://www.somogyi.sk/product/hriankovac-s-lcd-displejom-950-w-2-platky-hgkp22lcd-18855","https://www.somogyi.sk/product/hriankovac-s-lcd-displejom-950-w-2-platky-hgkp22lcd-18855")</f>
        <v>0.0</v>
      </c>
      <c r="E253" s="7" t="n">
        <f>HYPERLINK("https://www.somogyi.sk/data/img/product_main_images/small/18855.jpg","https://www.somogyi.sk/data/img/product_main_images/small/18855.jpg")</f>
        <v>0.0</v>
      </c>
      <c r="F253" s="2" t="inlineStr">
        <is>
          <t>5999084968618</t>
        </is>
      </c>
      <c r="G253" s="4" t="inlineStr">
        <is>
          <t xml:space="preserve"> • farba: strieborný 
 • výkon: 950 W 
 • displej: LCD 
 • počet plátkov: 2 
 • regulovanie pečenia: 7 úrovní nastaviteľného opekania 
 • automatické vyhadzovanie plátkov: áno 
 • tlačidlo zastavenia pečenia: tlačidlo CANCEL na zrušenie opekania 
 • napájanie: 220-240 V~ / 50/60 Hz 
 • dĺžka napájacieho kábla: ~ 75 cm 
 • rozmery: 16,8 x 18 x 28,5 cm 
 •  
 • ďalšie informácie: automatické zarovnanie na stred • ochrana proti zaseknutiu chleba • systém zdvíhania chleba</t>
        </is>
      </c>
    </row>
    <row r="254">
      <c r="A254" s="3" t="inlineStr">
        <is>
          <t>HG KP 22</t>
        </is>
      </c>
      <c r="B254" s="2" t="inlineStr">
        <is>
          <t>Hriankovač, 750 W, 2 plátky, cooltouch</t>
        </is>
      </c>
      <c r="C254" s="1" t="n">
        <v>20.19</v>
      </c>
      <c r="D254" s="7" t="n">
        <f>HYPERLINK("https://www.somogyi.sk/product/hriankovac-750-w-2-platky-cooltouch-hg-kp-22-18258","https://www.somogyi.sk/product/hriankovac-750-w-2-platky-cooltouch-hg-kp-22-18258")</f>
        <v>0.0</v>
      </c>
      <c r="E254" s="7" t="n">
        <f>HYPERLINK("https://www.somogyi.sk/data/img/product_main_images/small/18258.jpg","https://www.somogyi.sk/data/img/product_main_images/small/18258.jpg")</f>
        <v>0.0</v>
      </c>
      <c r="F254" s="2" t="inlineStr">
        <is>
          <t>5999084962807</t>
        </is>
      </c>
      <c r="G254" s="4" t="inlineStr">
        <is>
          <t xml:space="preserve"> • výkon: 750 W 
 • počet plátkov: možnosť opekať naraz 2 plátky 
 • regulovanie pečenia: pečenie je možné nastaviť v 7 stupňoch 
 • automatické vyhadzovanie plátkov: áno 
 • tlačidlo zastavenia pečenia: tlačidlo CANCEL na zrušenie opekania 
 • tácka na omrvinky: jednoduché čistenie tácky na omrvinky 
 • napájanie: 220-240 V~ / 50/60 Hz 
 • rozmery: 26 x 14,4 x 17,2 cm 
 • príslušenstvo: ohrievač žemlí 
 • charakteristiky: inteligentné opekanie 
 • ďalšie informácie: automatické zarovnanie na stred • ochrana proti zaseknutiu chleba</t>
        </is>
      </c>
    </row>
    <row r="255">
      <c r="A255" s="6" t="inlineStr">
        <is>
          <t xml:space="preserve">   Domáce spotrebiče / Kuchynská váha</t>
        </is>
      </c>
      <c r="B255" s="6" t="inlineStr">
        <is>
          <t/>
        </is>
      </c>
      <c r="C255" s="6" t="inlineStr">
        <is>
          <t/>
        </is>
      </c>
      <c r="D255" s="6" t="inlineStr">
        <is>
          <t/>
        </is>
      </c>
      <c r="E255" s="6" t="inlineStr">
        <is>
          <t/>
        </is>
      </c>
      <c r="F255" s="6" t="inlineStr">
        <is>
          <t/>
        </is>
      </c>
      <c r="G255" s="6" t="inlineStr">
        <is>
          <t/>
        </is>
      </c>
    </row>
    <row r="256">
      <c r="A256" s="3" t="inlineStr">
        <is>
          <t>HG M 15</t>
        </is>
      </c>
      <c r="B256" s="2" t="inlineStr">
        <is>
          <t>Kuchynská váha</t>
        </is>
      </c>
      <c r="C256" s="1" t="n">
        <v>17.59</v>
      </c>
      <c r="D256" s="7" t="n">
        <f>HYPERLINK("https://www.somogyi.sk/product/kuchynska-vaha-hg-m-15-16640","https://www.somogyi.sk/product/kuchynska-vaha-hg-m-15-16640")</f>
        <v>0.0</v>
      </c>
      <c r="E256" s="7" t="n">
        <f>HYPERLINK("https://www.somogyi.sk/data/img/product_main_images/small/16640.jpg","https://www.somogyi.sk/data/img/product_main_images/small/16640.jpg")</f>
        <v>0.0</v>
      </c>
      <c r="F256" s="2" t="inlineStr">
        <is>
          <t>5999084946722</t>
        </is>
      </c>
      <c r="G256" s="4" t="inlineStr">
        <is>
          <t xml:space="preserve"> • meracia hranica: 15 kg 
 • presnosť merania: 1 g 
 • funkcia TARE: áno 
 • voliteľná jednotka merania: g, kg, lb 
 • vypnutie: automatický 
 • zobrazenie nízkeho napätia: áno 
 • zobrazenie preťaženia: áno 
 • napájanie: 2 x 1,5 V (AAA) batéria, nie je príslušenstvom</t>
        </is>
      </c>
    </row>
    <row r="257">
      <c r="A257" s="3" t="inlineStr">
        <is>
          <t>HG M 05</t>
        </is>
      </c>
      <c r="B257" s="2" t="inlineStr">
        <is>
          <t>Kuchynská váha, 5 kg</t>
        </is>
      </c>
      <c r="C257" s="1" t="n">
        <v>11.29</v>
      </c>
      <c r="D257" s="7" t="n">
        <f>HYPERLINK("https://www.somogyi.sk/product/kuchynska-vaha-5-kg-hg-m-05-16639","https://www.somogyi.sk/product/kuchynska-vaha-5-kg-hg-m-05-16639")</f>
        <v>0.0</v>
      </c>
      <c r="E257" s="7" t="n">
        <f>HYPERLINK("https://www.somogyi.sk/data/img/product_main_images/small/16639.jpg","https://www.somogyi.sk/data/img/product_main_images/small/16639.jpg")</f>
        <v>0.0</v>
      </c>
      <c r="F257" s="2" t="inlineStr">
        <is>
          <t>5999084946715</t>
        </is>
      </c>
      <c r="G257" s="4" t="inlineStr">
        <is>
          <t xml:space="preserve"> • displej: LCD 
 • meracia hranica: 5 kg 
 • presnosť merania: 1 g 
 • funkcia TARE: áno 
 • voliteľná jednotka merania: g/oz, lb; voda ml/cup; mlieko ml/cup 
 • vypnutie: automatický 
 • zobrazenie nízkeho napätia: áno 
 • zobrazenie preťaženia: áno 
 • napájanie: 2 x 1,5 V (AAA) batéria, nie je príslušenstvom</t>
        </is>
      </c>
    </row>
    <row r="258">
      <c r="A258" s="3" t="inlineStr">
        <is>
          <t>10-274-001</t>
        </is>
      </c>
      <c r="B258" s="2" t="inlineStr">
        <is>
          <t>Odmerka s digitálnym displejom "Imperial", 5 kg</t>
        </is>
      </c>
      <c r="C258" s="1" t="n">
        <v>18.99</v>
      </c>
      <c r="D258" s="7" t="n">
        <f>HYPERLINK("https://www.somogyi.sk/product/odmerka-s-digitalnym-displejom-imperial-5-kg-10-274-001-18348","https://www.somogyi.sk/product/odmerka-s-digitalnym-displejom-imperial-5-kg-10-274-001-18348")</f>
        <v>0.0</v>
      </c>
      <c r="E258" s="7" t="n">
        <f>HYPERLINK("https://www.somogyi.sk/data/img/product_main_images/small/18348.jpg","https://www.somogyi.sk/data/img/product_main_images/small/18348.jpg")</f>
        <v>0.0</v>
      </c>
      <c r="F258" s="2" t="inlineStr">
        <is>
          <t>5205746175592</t>
        </is>
      </c>
      <c r="G258" s="4" t="inlineStr">
        <is>
          <t xml:space="preserve"> • meracie stupnice: ml, oz, šálka 
 • kapacita: max 1500 ml, 55 oz, 6 šálok 
 • stupnice: 50 ml, 2 oz, 1/4 šálky 
 • max. hmotnosť: 5 kg 
 • presnosť merania: 1 gr 
 • zobrazenie jednotiek: gr, oz, ml 
 • funkcia tare 
 • tlačidlo zapnutia a vypnutia 
 • automatické vypnutie po 2 minútach 
 • zobrazenie nízkej úrovne nabitia batérie 
 • zobrazenie preťaženia 
 • protišmykový podstavec 
 • napájanie: 2 x 1,5 V (AAA) batéria, nie je príslušenstvom</t>
        </is>
      </c>
    </row>
    <row r="259">
      <c r="A259" s="6" t="inlineStr">
        <is>
          <t xml:space="preserve">   Domáce spotrebiče / Mikrovlnná rúra, mini rúra</t>
        </is>
      </c>
      <c r="B259" s="6" t="inlineStr">
        <is>
          <t/>
        </is>
      </c>
      <c r="C259" s="6" t="inlineStr">
        <is>
          <t/>
        </is>
      </c>
      <c r="D259" s="6" t="inlineStr">
        <is>
          <t/>
        </is>
      </c>
      <c r="E259" s="6" t="inlineStr">
        <is>
          <t/>
        </is>
      </c>
      <c r="F259" s="6" t="inlineStr">
        <is>
          <t/>
        </is>
      </c>
      <c r="G259" s="6" t="inlineStr">
        <is>
          <t/>
        </is>
      </c>
    </row>
    <row r="260">
      <c r="A260" s="3" t="inlineStr">
        <is>
          <t>HG MS 10</t>
        </is>
      </c>
      <c r="B260" s="2" t="inlineStr">
        <is>
          <t>Mini rúra s termostatom, 9 l</t>
        </is>
      </c>
      <c r="C260" s="1" t="n">
        <v>44.69</v>
      </c>
      <c r="D260" s="7" t="n">
        <f>HYPERLINK("https://www.somogyi.sk/product/mini-rura-s-termostatom-9-l-hg-ms-10-17237","https://www.somogyi.sk/product/mini-rura-s-termostatom-9-l-hg-ms-10-17237")</f>
        <v>0.0</v>
      </c>
      <c r="E260" s="7" t="n">
        <f>HYPERLINK("https://www.somogyi.sk/data/img/product_main_images/small/17237.jpg","https://www.somogyi.sk/data/img/product_main_images/small/17237.jpg")</f>
        <v>0.0</v>
      </c>
      <c r="F260" s="2" t="inlineStr">
        <is>
          <t>5999084952617</t>
        </is>
      </c>
      <c r="G260" s="4" t="inlineStr">
        <is>
          <t xml:space="preserve"> • výkon: 1050 W 
 • objem: 9 l 
 • časovač: max. 60 min. časovač 
 • napájanie: 230 V~ / 50 Hz 
 • rozmery: 37,5 x 22,5 x 30,5 cm</t>
        </is>
      </c>
    </row>
    <row r="261">
      <c r="A261" s="3" t="inlineStr">
        <is>
          <t>HGMH32D</t>
        </is>
      </c>
      <c r="B261" s="2" t="inlineStr">
        <is>
          <t>Mikrovlnná rúra, digitálna, 1000 W, 32 l</t>
        </is>
      </c>
      <c r="C261" s="1" t="n">
        <v>117.9</v>
      </c>
      <c r="D261" s="7" t="n">
        <f>HYPERLINK("https://www.somogyi.sk/product/mikrovlnna-rura-digitalna-1000-w-32-l-hgmh32d-18349","https://www.somogyi.sk/product/mikrovlnna-rura-digitalna-1000-w-32-l-hgmh32d-18349")</f>
        <v>0.0</v>
      </c>
      <c r="E261" s="7" t="n">
        <f>HYPERLINK("https://www.somogyi.sk/data/img/product_main_images/small/18349.jpg","https://www.somogyi.sk/data/img/product_main_images/small/18349.jpg")</f>
        <v>0.0</v>
      </c>
      <c r="F261" s="2" t="inlineStr">
        <is>
          <t>5999084963675</t>
        </is>
      </c>
      <c r="G261" s="4" t="inlineStr">
        <is>
          <t xml:space="preserve"> • výkon: 1000 W 
 • objem: 32 l 
 • typy prevádzok: 5 stupňov výkonu 
 • časovač: prevádzkový čas je možné nastaviť od 5 sekúnd do 95 minút 
 • otočný podnos: Ø315 mm, sklo 
 • napájanie: 230 V~ / 50 Hz 
 • rozmery: 523 x 300 x 418 mm 
 • hmotnosť: 14,53 kg 
 •  
 • ďalšie informácie: digitálne ovládanie</t>
        </is>
      </c>
    </row>
    <row r="262">
      <c r="A262" s="3" t="inlineStr">
        <is>
          <t>HG MH 23 GR</t>
        </is>
      </c>
      <c r="B262" s="2" t="inlineStr">
        <is>
          <t>Mikrovlnná rúra s grilom</t>
        </is>
      </c>
      <c r="C262" s="1" t="n">
        <v>111.9</v>
      </c>
      <c r="D262" s="7" t="n">
        <f>HYPERLINK("https://www.somogyi.sk/product/mikrovlnna-rura-s-grilom-hg-mh-23-gr-16925","https://www.somogyi.sk/product/mikrovlnna-rura-s-grilom-hg-mh-23-gr-16925")</f>
        <v>0.0</v>
      </c>
      <c r="E262" s="7" t="n">
        <f>HYPERLINK("https://www.somogyi.sk/data/img/product_main_images/small/16925.jpg","https://www.somogyi.sk/data/img/product_main_images/small/16925.jpg")</f>
        <v>0.0</v>
      </c>
      <c r="F262" s="2" t="inlineStr">
        <is>
          <t>5999084949570</t>
        </is>
      </c>
      <c r="G262" s="4" t="inlineStr">
        <is>
          <t xml:space="preserve"> • výkon: 800 W mikrovlnný výkon, 1000 W grilovací výkon 
 • objem: 23 l 
 • typy prevádzok: 5 stupňov výkonu 
 • časovač: nastaviteľný prevádzkový čas od 5 sekúnd do 95 minút 
 • otočný podnos: áno 
 • napájanie: 230 V~ / 50 Hz 
 • rozmery: 485 mm x 293 mm x 405 mm 
 • hmotnosť: 14 kg</t>
        </is>
      </c>
    </row>
    <row r="263">
      <c r="A263" s="3" t="inlineStr">
        <is>
          <t>HGMH19</t>
        </is>
      </c>
      <c r="B263" s="2" t="inlineStr">
        <is>
          <t>Mikrovlnná rúra, 700 W</t>
        </is>
      </c>
      <c r="C263" s="1" t="n">
        <v>73.89</v>
      </c>
      <c r="D263" s="7" t="n">
        <f>HYPERLINK("https://www.somogyi.sk/product/mikrovlnna-rura-700-w-hgmh19-18319","https://www.somogyi.sk/product/mikrovlnna-rura-700-w-hgmh19-18319")</f>
        <v>0.0</v>
      </c>
      <c r="E263" s="7" t="n">
        <f>HYPERLINK("https://www.somogyi.sk/data/img/product_main_images/small/18319.jpg","https://www.somogyi.sk/data/img/product_main_images/small/18319.jpg")</f>
        <v>0.0</v>
      </c>
      <c r="F263" s="2" t="inlineStr">
        <is>
          <t>5999084963378</t>
        </is>
      </c>
      <c r="G263" s="4" t="inlineStr">
        <is>
          <t xml:space="preserve"> • výkon: 700 W 
 • objem: 19 l 
 • typy prevádzok: 5 stupňov výkonu 
 • časovač: 30 minútový, mechanický 
 • otočný podnos: Ø 245 mm, sklo 
 • napájanie: 230 V~ / 50 Hz 
 • rozmery: .440 x 259 x 358,5 mm 
 • hmotnosť: 6,6 kg</t>
        </is>
      </c>
    </row>
    <row r="264">
      <c r="A264" s="3" t="inlineStr">
        <is>
          <t>HG MH 21</t>
        </is>
      </c>
      <c r="B264" s="2" t="inlineStr">
        <is>
          <t>Mikrovlnná rúra, 700 W</t>
        </is>
      </c>
      <c r="C264" s="1" t="n">
        <v>66.99</v>
      </c>
      <c r="D264" s="7" t="n">
        <f>HYPERLINK("https://www.somogyi.sk/product/mikrovlnna-rura-700-w-hg-mh-21-15973","https://www.somogyi.sk/product/mikrovlnna-rura-700-w-hg-mh-21-15973")</f>
        <v>0.0</v>
      </c>
      <c r="E264" s="7" t="n">
        <f>HYPERLINK("https://www.somogyi.sk/data/img/product_main_images/small/15973.jpg","https://www.somogyi.sk/data/img/product_main_images/small/15973.jpg")</f>
        <v>0.0</v>
      </c>
      <c r="F264" s="2" t="inlineStr">
        <is>
          <t>5999084940072</t>
        </is>
      </c>
      <c r="G264" s="4" t="inlineStr">
        <is>
          <t xml:space="preserve"> • výkon: 700 W 
 • objem: 20 l 
 • typy prevádzok: mikrovlny v 5 stupňoch 
 • časovač: 35 minútový, mechanický 
 • otočný podnos: áno 
 • napájanie: 230 V~ / 50 Hz 
 • rozmery: 44 x 25,9 x 35,8 cm 
 • hmotnosť: 10,3 kg</t>
        </is>
      </c>
    </row>
    <row r="265">
      <c r="A265" s="3" t="inlineStr">
        <is>
          <t>MD-MP012MK-WH</t>
        </is>
      </c>
      <c r="B265" s="2" t="inlineStr">
        <is>
          <t>MIDEA Mikrovlnná rúra, 700 W, 19 L</t>
        </is>
      </c>
      <c r="C265" s="1" t="n">
        <v>68.59</v>
      </c>
      <c r="D265" s="7" t="n">
        <f>HYPERLINK("https://www.somogyi.sk/product/midea-mikrovlnna-rura-700-w-19-l-md-mp012mk-wh-18913","https://www.somogyi.sk/product/midea-mikrovlnna-rura-700-w-19-l-md-mp012mk-wh-18913")</f>
        <v>0.0</v>
      </c>
      <c r="E265" s="7" t="n">
        <f>HYPERLINK("https://www.somogyi.sk/data/img/product_main_images/small/18913.jpg","https://www.somogyi.sk/data/img/product_main_images/small/18913.jpg")</f>
        <v>0.0</v>
      </c>
      <c r="F265" s="2" t="inlineStr">
        <is>
          <t>6944271670965</t>
        </is>
      </c>
      <c r="G265" s="4" t="inlineStr">
        <is>
          <t xml:space="preserve"> • výkon: 700 W 
 • objem: 19 l 
 • časovač: 33 minútový, mechanický 
 • otočný podnos: Ø 245 mm, sklo 
 • napájanie: 230 V~ / 50 Hz 
 • rozmery: 45,8 x 26,7 x 32,9 cm 
 • hmotnosť: 6,5 kg</t>
        </is>
      </c>
    </row>
    <row r="266">
      <c r="A266" s="3" t="inlineStr">
        <is>
          <t>MO17E1W</t>
        </is>
      </c>
      <c r="B266" s="2" t="inlineStr">
        <is>
          <t>Mikrovlnná rúra Gorenje, 700 W, 17 l</t>
        </is>
      </c>
      <c r="C266" s="1" t="n">
        <v>87.19</v>
      </c>
      <c r="D266" s="7" t="n">
        <f>HYPERLINK("https://www.somogyi.sk/product/mikrovlnna-rura-gorenje-700-w-17-l-mo17e1w-18298","https://www.somogyi.sk/product/mikrovlnna-rura-gorenje-700-w-17-l-mo17e1w-18298")</f>
        <v>0.0</v>
      </c>
      <c r="E266" s="7" t="n">
        <f>HYPERLINK("https://www.somogyi.sk/data/img/product_main_images/small/18298.jpg","https://www.somogyi.sk/data/img/product_main_images/small/18298.jpg")</f>
        <v>0.0</v>
      </c>
      <c r="F266" s="2" t="inlineStr">
        <is>
          <t>3838782175350</t>
        </is>
      </c>
      <c r="G266" s="4" t="inlineStr">
        <is>
          <t xml:space="preserve"> • výkon: 700 W 
 • objem: 17 l 
 • typy prevádzok: 5 úrovní mikro výkonu 
 • otočný podnos: Ø 245 mm 
 • napájanie: 230 V~ / 50 Hz 
 • rozmery: 451 x 257 x 343 mm 
 • hmotnosť: 10,6 kg 
 • funkcia: AquaClean samočistenie</t>
        </is>
      </c>
    </row>
    <row r="267">
      <c r="A267" s="6" t="inlineStr">
        <is>
          <t xml:space="preserve">   Domáce spotrebiče / Mixér</t>
        </is>
      </c>
      <c r="B267" s="6" t="inlineStr">
        <is>
          <t/>
        </is>
      </c>
      <c r="C267" s="6" t="inlineStr">
        <is>
          <t/>
        </is>
      </c>
      <c r="D267" s="6" t="inlineStr">
        <is>
          <t/>
        </is>
      </c>
      <c r="E267" s="6" t="inlineStr">
        <is>
          <t/>
        </is>
      </c>
      <c r="F267" s="6" t="inlineStr">
        <is>
          <t/>
        </is>
      </c>
      <c r="G267" s="6" t="inlineStr">
        <is>
          <t/>
        </is>
      </c>
    </row>
    <row r="268">
      <c r="A268" s="3" t="inlineStr">
        <is>
          <t>HG KM 18</t>
        </is>
      </c>
      <c r="B268" s="2" t="inlineStr">
        <is>
          <t>Ručný mixér, 250 W, 5 rýchlostí</t>
        </is>
      </c>
      <c r="C268" s="1" t="n">
        <v>22.69</v>
      </c>
      <c r="D268" s="7" t="n">
        <f>HYPERLINK("https://www.somogyi.sk/product/rucny-mixer-250-w-5-rychlosti-hg-km-18-16592","https://www.somogyi.sk/product/rucny-mixer-250-w-5-rychlosti-hg-km-18-16592")</f>
        <v>0.0</v>
      </c>
      <c r="E268" s="7" t="n">
        <f>HYPERLINK("https://www.somogyi.sk/data/img/product_main_images/small/16592.jpg","https://www.somogyi.sk/data/img/product_main_images/small/16592.jpg")</f>
        <v>0.0</v>
      </c>
      <c r="F268" s="2" t="inlineStr">
        <is>
          <t>5999084946241</t>
        </is>
      </c>
      <c r="G268" s="4" t="inlineStr">
        <is>
          <t xml:space="preserve"> • výkon: 250 W 
 • rýchlostné stupne: 5   turbo 
 • materiál krytu: plast 
 • napájanie: 230 V~  / 50 Hz</t>
        </is>
      </c>
    </row>
    <row r="269">
      <c r="A269" s="3" t="inlineStr">
        <is>
          <t>HM0293N</t>
        </is>
      </c>
      <c r="B269" s="2" t="inlineStr">
        <is>
          <t>MIDEA ručný mixér, 400 W, 5 stupňov rýchlosti</t>
        </is>
      </c>
      <c r="C269" s="1" t="n">
        <v>27.09</v>
      </c>
      <c r="D269" s="7" t="n">
        <f>HYPERLINK("https://www.somogyi.sk/product/midea-rucny-mixer-400-w-5-stupnov-rychlosti-hm0293n-19111","https://www.somogyi.sk/product/midea-rucny-mixer-400-w-5-stupnov-rychlosti-hm0293n-19111")</f>
        <v>0.0</v>
      </c>
      <c r="E269" s="7" t="n">
        <f>HYPERLINK("https://www.somogyi.sk/data/img/product_main_images/small/19111.jpg","https://www.somogyi.sk/data/img/product_main_images/small/19111.jpg")</f>
        <v>0.0</v>
      </c>
      <c r="F269" s="2" t="inlineStr">
        <is>
          <t>6936718309019</t>
        </is>
      </c>
      <c r="G269" s="4" t="inlineStr">
        <is>
          <t xml:space="preserve"> • farba: čierna 
 • výkon: 400 W 
 • rýchlostné stupne: 5   turbo 
 • materiál krytu: plast 
 • napájanie: 220-240 V~ / 50 Hz 
 • ďalšie informácie: jednoduché uvoľnenie nástavca jedným tlačidlom • nerezové nástavce, vhodné do umývačky riadu</t>
        </is>
      </c>
    </row>
    <row r="270">
      <c r="A270" s="3" t="inlineStr">
        <is>
          <t>HG BM 12</t>
        </is>
      </c>
      <c r="B270" s="2" t="inlineStr">
        <is>
          <t>Tyčový mixér, 250 W, 15000 rpm</t>
        </is>
      </c>
      <c r="C270" s="1" t="n">
        <v>15.19</v>
      </c>
      <c r="D270" s="7" t="n">
        <f>HYPERLINK("https://www.somogyi.sk/product/tycovy-mixer-250-w-15000-rpm-hg-bm-12-14974","https://www.somogyi.sk/product/tycovy-mixer-250-w-15000-rpm-hg-bm-12-14974")</f>
        <v>0.0</v>
      </c>
      <c r="E270" s="7" t="n">
        <f>HYPERLINK("https://www.somogyi.sk/data/img/product_main_images/small/14974.jpg","https://www.somogyi.sk/data/img/product_main_images/small/14974.jpg")</f>
        <v>0.0</v>
      </c>
      <c r="F270" s="2" t="inlineStr">
        <is>
          <t>5999084930080</t>
        </is>
      </c>
      <c r="G270" s="4" t="inlineStr">
        <is>
          <t xml:space="preserve"> • farba: biela 
 • výkon: 250 W 
 • rýchlostné stupne: 1  (15.000 / minút) 
 • nože / šľahací nástavec / hnetací nástavec: nerezová oceľ 
 • materiál krytu: ABS 
 • príslušenstvo: odstrániteľný mixovací nástavec 
 • napájanie: 230 V~ / 50 Hz</t>
        </is>
      </c>
    </row>
    <row r="271">
      <c r="A271" s="3" t="inlineStr">
        <is>
          <t>HGKM40</t>
        </is>
      </c>
      <c r="B271" s="2" t="inlineStr">
        <is>
          <t>Ručný šľahač, 400 W</t>
        </is>
      </c>
      <c r="C271" s="1" t="n">
        <v>28.09</v>
      </c>
      <c r="D271" s="7" t="n">
        <f>HYPERLINK("https://www.somogyi.sk/product/rucny-slahac-400-w-hgkm40-18931","https://www.somogyi.sk/product/rucny-slahac-400-w-hgkm40-18931")</f>
        <v>0.0</v>
      </c>
      <c r="E271" s="7" t="n">
        <f>HYPERLINK("https://www.somogyi.sk/data/img/product_main_images/small/18931.jpg","https://www.somogyi.sk/data/img/product_main_images/small/18931.jpg")</f>
        <v>0.0</v>
      </c>
      <c r="F271" s="2" t="inlineStr">
        <is>
          <t>5999084969257</t>
        </is>
      </c>
      <c r="G271" s="4" t="inlineStr">
        <is>
          <t xml:space="preserve"> • výkon: 400 W 
 • rýchlostné stupne: 5 rýchlostí   TURBO 
 •  
 • materiál krytu: plast 
 • hlučnosť: 75 dB(A) 
 • napájanie: 230 V~ / 50 Hz 
 • rozmery: 19 x 15 x 8 cm 
 • hmotnosť: 1,05 kg</t>
        </is>
      </c>
    </row>
    <row r="272">
      <c r="A272" s="3" t="inlineStr">
        <is>
          <t>HM0293</t>
        </is>
      </c>
      <c r="B272" s="2" t="inlineStr">
        <is>
          <t>MIDEA ručný mixér, 400 W, 5 stupňov rýchlosti</t>
        </is>
      </c>
      <c r="C272" s="1" t="n">
        <v>35.99</v>
      </c>
      <c r="D272" s="7" t="n">
        <f>HYPERLINK("https://www.somogyi.sk/product/midea-rucny-mixer-400-w-5-stupnov-rychlosti-hm0293-17813","https://www.somogyi.sk/product/midea-rucny-mixer-400-w-5-stupnov-rychlosti-hm0293-17813")</f>
        <v>0.0</v>
      </c>
      <c r="E272" s="7" t="n">
        <f>HYPERLINK("https://www.somogyi.sk/data/img/product_main_images/small/17813.jpg","https://www.somogyi.sk/data/img/product_main_images/small/17813.jpg")</f>
        <v>0.0</v>
      </c>
      <c r="F272" s="2" t="inlineStr">
        <is>
          <t>6939962756127</t>
        </is>
      </c>
      <c r="G272" s="4" t="inlineStr">
        <is>
          <t xml:space="preserve"> • farba: čierna 
 • výkon: 400 W 
 • rýchlostné stupne: 5   turbo 
 • materiál krytu: plast 
 • napájanie: 220-240 V~ / 50 Hz 
 • ďalšie informácie: jednoduché uvoľnenie nástavca jedným tlačidlom • nástavce vhodné do umývačky riadu</t>
        </is>
      </c>
    </row>
    <row r="273">
      <c r="A273" s="3" t="inlineStr">
        <is>
          <t>HGBMS65</t>
        </is>
      </c>
      <c r="B273" s="2" t="inlineStr">
        <is>
          <t>Tyčový mixér, sada, 1000 W</t>
        </is>
      </c>
      <c r="C273" s="1" t="n">
        <v>35.09</v>
      </c>
      <c r="D273" s="7" t="n">
        <f>HYPERLINK("https://www.somogyi.sk/product/tycovy-mixer-sada-1000-w-hgbms65-18918","https://www.somogyi.sk/product/tycovy-mixer-sada-1000-w-hgbms65-18918")</f>
        <v>0.0</v>
      </c>
      <c r="E273" s="7" t="n">
        <f>HYPERLINK("https://www.somogyi.sk/data/img/product_main_images/small/18918.jpg","https://www.somogyi.sk/data/img/product_main_images/small/18918.jpg")</f>
        <v>0.0</v>
      </c>
      <c r="F273" s="2" t="inlineStr">
        <is>
          <t>5999084969127</t>
        </is>
      </c>
      <c r="G273" s="4" t="inlineStr">
        <is>
          <t xml:space="preserve"> • výkon: 1000 W 
 • rýchlostné stupne: nastaviteľná rýchlosť v 15 stupňoch a TURBO funkcia 
 •  
 • napájanie: 220-240V~ 50/60Hz 
 • rozmery: Ø6,5 x 36,5 cm</t>
        </is>
      </c>
    </row>
    <row r="274">
      <c r="A274" s="3" t="inlineStr">
        <is>
          <t>HG BMS 64</t>
        </is>
      </c>
      <c r="B274" s="2" t="inlineStr">
        <is>
          <t>Tyčový mixér, 600 W</t>
        </is>
      </c>
      <c r="C274" s="1" t="n">
        <v>35.39</v>
      </c>
      <c r="D274" s="7" t="n">
        <f>HYPERLINK("https://www.somogyi.sk/product/tycovy-mixer-600-w-hg-bms-64-16419","https://www.somogyi.sk/product/tycovy-mixer-600-w-hg-bms-64-16419")</f>
        <v>0.0</v>
      </c>
      <c r="E274" s="7" t="n">
        <f>HYPERLINK("https://www.somogyi.sk/data/img/product_main_images/small/16419.jpg","https://www.somogyi.sk/data/img/product_main_images/small/16419.jpg")</f>
        <v>0.0</v>
      </c>
      <c r="F274" s="2" t="inlineStr">
        <is>
          <t>5999084944513</t>
        </is>
      </c>
      <c r="G274" s="4" t="inlineStr">
        <is>
          <t xml:space="preserve"> • výkon: 600 W 
 • rýchlostné stupne: 2 
 • nože / šľahací nástavec / hnetací nástavec: nehrdzavejúca oceľ 
 • napájanie: 230 V~</t>
        </is>
      </c>
    </row>
    <row r="275">
      <c r="A275" s="6" t="inlineStr">
        <is>
          <t xml:space="preserve">   Domáce spotrebiče / Fritéza, elektrická platnička</t>
        </is>
      </c>
      <c r="B275" s="6" t="inlineStr">
        <is>
          <t/>
        </is>
      </c>
      <c r="C275" s="6" t="inlineStr">
        <is>
          <t/>
        </is>
      </c>
      <c r="D275" s="6" t="inlineStr">
        <is>
          <t/>
        </is>
      </c>
      <c r="E275" s="6" t="inlineStr">
        <is>
          <t/>
        </is>
      </c>
      <c r="F275" s="6" t="inlineStr">
        <is>
          <t/>
        </is>
      </c>
      <c r="G275" s="6" t="inlineStr">
        <is>
          <t/>
        </is>
      </c>
    </row>
    <row r="276">
      <c r="A276" s="3" t="inlineStr">
        <is>
          <t>HG IF 29</t>
        </is>
      </c>
      <c r="B276" s="2" t="inlineStr">
        <is>
          <t>Indukčná varná doska</t>
        </is>
      </c>
      <c r="C276" s="1" t="n">
        <v>52.79</v>
      </c>
      <c r="D276" s="7" t="n">
        <f>HYPERLINK("https://www.somogyi.sk/product/indukcna-varna-doska-hg-if-29-17948","https://www.somogyi.sk/product/indukcna-varna-doska-hg-if-29-17948")</f>
        <v>0.0</v>
      </c>
      <c r="E276" s="7" t="n">
        <f>HYPERLINK("https://www.somogyi.sk/data/img/product_main_images/small/17948.jpg","https://www.somogyi.sk/data/img/product_main_images/small/17948.jpg")</f>
        <v>0.0</v>
      </c>
      <c r="F276" s="2" t="inlineStr">
        <is>
          <t>5999084959708</t>
        </is>
      </c>
      <c r="G276" s="4" t="inlineStr">
        <is>
          <t xml:space="preserve"> • výkon: 2000 W  / po 200 W, nastaviteľný výkon v 10 stupňoch (200 W – 2000 W) / 
 • počet platničiek: 1 
 • displej: LED 
 • regulácia teploty: 60 - 240 °C (po 20 °C) 
 • ovládacie prvky: dotykové tlačidlo 
 • automatické spoznanie nádoby: áno 
 • prevedenie: prenosný 
 • napájanie: 220-240 V~ / 50-60 Hz 
 • rozmery: Ø290 x 64 mm 
 • hmotnosť: 2,1 kg 
 • detská poistka: áno 
 • ďalšie informácie: protišmykové silikónové nožičky</t>
        </is>
      </c>
    </row>
    <row r="277">
      <c r="A277" s="3" t="inlineStr">
        <is>
          <t>IC-2012</t>
        </is>
      </c>
      <c r="B277" s="2" t="inlineStr">
        <is>
          <t>Indukčný varič</t>
        </is>
      </c>
      <c r="C277" s="1" t="n">
        <v>64.99</v>
      </c>
      <c r="D277" s="7" t="n">
        <f>HYPERLINK("https://www.somogyi.sk/product/indukcny-varic-ic-2012-13006","https://www.somogyi.sk/product/indukcny-varic-ic-2012-13006")</f>
        <v>0.0</v>
      </c>
      <c r="E277" s="7" t="n">
        <f>HYPERLINK("https://www.somogyi.sk/data/img/product_main_images/small/13006.jpg","https://www.somogyi.sk/data/img/product_main_images/small/13006.jpg")</f>
        <v>0.0</v>
      </c>
      <c r="F277" s="2" t="inlineStr">
        <is>
          <t>5998777335553</t>
        </is>
      </c>
      <c r="G277" s="4" t="inlineStr">
        <is>
          <t xml:space="preserve"> • výkon: 2000 W 
 • počet platničiek: 1 
 • displej: LCD 
 • regulácia teploty: 60 - 240 °C (po 20 °C ) 
 • ovládacie prvky: dotykové tlačidlo 
 • ochrana proti prehriatiu: áno 
 • časovač: max. 180 minút 
 • automatické spoznanie nádoby: áno 
 • varná doska: sklo keramická 
 • prevedenie: prenosné 
 • príslušenstvo: - 
 • napájanie: 230 V~ / 50 Hz</t>
        </is>
      </c>
    </row>
    <row r="278">
      <c r="A278" s="3" t="inlineStr">
        <is>
          <t>HG R 04SS</t>
        </is>
      </c>
      <c r="B278" s="2" t="inlineStr">
        <is>
          <t>Prenosná elektrická dvojplatnička, 1500 W   1000 W</t>
        </is>
      </c>
      <c r="C278" s="1" t="n">
        <v>41.49</v>
      </c>
      <c r="D278" s="7" t="n">
        <f>HYPERLINK("https://www.somogyi.sk/product/prenosna-elektricka-dvojplatnicka-1500-w-1000-w-hg-r-04ss-17906","https://www.somogyi.sk/product/prenosna-elektricka-dvojplatnicka-1500-w-1000-w-hg-r-04ss-17906")</f>
        <v>0.0</v>
      </c>
      <c r="E278" s="7" t="n">
        <f>HYPERLINK("https://www.somogyi.sk/data/img/product_main_images/small/17906.jpg","https://www.somogyi.sk/data/img/product_main_images/small/17906.jpg")</f>
        <v>0.0</v>
      </c>
      <c r="F278" s="2" t="inlineStr">
        <is>
          <t>5999084959289</t>
        </is>
      </c>
      <c r="G278" s="4" t="inlineStr">
        <is>
          <t xml:space="preserve"> • výkon: 2500 W 
 • počet platničiek: 2 
 • displej: červená kontrolka vykurovania 
 • regulácia teploty: áno 
 • ovládacie prvky: regulátor teploty 
 • varná doska: ∅15 cm (1000 W) a ∅18 cm (1500 W) 
 • prevedenie: prenosný 
 • napájanie: 230 V~ / 50 Hz 
 • dĺžka kábla: ~0,8 m 
 • rozmery: 47 x 9 x 25,5 cm 
 • hmotnosť: 3,3 kg</t>
        </is>
      </c>
    </row>
    <row r="279">
      <c r="A279" s="3" t="inlineStr">
        <is>
          <t>HG R 03SS</t>
        </is>
      </c>
      <c r="B279" s="2" t="inlineStr">
        <is>
          <t>Prenosná elektrická jednoplatnička, 1 x 1500 W</t>
        </is>
      </c>
      <c r="C279" s="1" t="n">
        <v>24.29</v>
      </c>
      <c r="D279" s="7" t="n">
        <f>HYPERLINK("https://www.somogyi.sk/product/prenosna-elektricka-jednoplatnicka-1-x-1500-w-hg-r-03ss-17905","https://www.somogyi.sk/product/prenosna-elektricka-jednoplatnicka-1-x-1500-w-hg-r-03ss-17905")</f>
        <v>0.0</v>
      </c>
      <c r="E279" s="7" t="n">
        <f>HYPERLINK("https://www.somogyi.sk/data/img/product_main_images/small/17905.jpg","https://www.somogyi.sk/data/img/product_main_images/small/17905.jpg")</f>
        <v>0.0</v>
      </c>
      <c r="F279" s="2" t="inlineStr">
        <is>
          <t>5999084959272</t>
        </is>
      </c>
      <c r="G279" s="4" t="inlineStr">
        <is>
          <t xml:space="preserve"> • výkon: 1500 W 
 • počet platničiek: 1 
 • displej: červená kontrolka vykurovania 
 • regulácia teploty: áno 
 • ovládacie prvky: regulátor teploty 
 • varná doska: ∅18 cm 
 • prevedenie: prenosný 
 • napájanie: 230 V~ / 50 Hz 
 • dĺžka kábla: ~0,8 m 
 • rozmery: 23 x 8,5 x 25,5 cm 
 • hmotnosť: 1,9 kg</t>
        </is>
      </c>
    </row>
    <row r="280">
      <c r="A280" s="3" t="inlineStr">
        <is>
          <t>HG R 01WH</t>
        </is>
      </c>
      <c r="B280" s="2" t="inlineStr">
        <is>
          <t>Prenosná elektrická jednoplatnička, 1 x 1500 W</t>
        </is>
      </c>
      <c r="C280" s="1" t="n">
        <v>22.09</v>
      </c>
      <c r="D280" s="7" t="n">
        <f>HYPERLINK("https://www.somogyi.sk/product/prenosna-elektricka-jednoplatnicka-1-x-1500-w-hg-r-01wh-17903","https://www.somogyi.sk/product/prenosna-elektricka-jednoplatnicka-1-x-1500-w-hg-r-01wh-17903")</f>
        <v>0.0</v>
      </c>
      <c r="E280" s="7" t="n">
        <f>HYPERLINK("https://www.somogyi.sk/data/img/product_main_images/small/17903.jpg","https://www.somogyi.sk/data/img/product_main_images/small/17903.jpg")</f>
        <v>0.0</v>
      </c>
      <c r="F280" s="2" t="inlineStr">
        <is>
          <t>5999084959258</t>
        </is>
      </c>
      <c r="G280" s="4" t="inlineStr">
        <is>
          <t xml:space="preserve"> • výkon: 1500 W 
 • počet platničiek: 1 
 • regulácia teploty: áno (5 stupňov) 
 • ovládacie prvky: regulátor teploty 
 • varná doska: ∅18 cm 
 • napájanie: 230 V~ / 50 Hz 
 • rozmery: 21 x 6,5 x 25,5 cm • (hmotnosť: 1,8 kg)</t>
        </is>
      </c>
    </row>
    <row r="281">
      <c r="A281" s="3" t="inlineStr">
        <is>
          <t>HGOLS4</t>
        </is>
      </c>
      <c r="B281" s="2" t="inlineStr">
        <is>
          <t>Fritéza, 4 l, 2000 W</t>
        </is>
      </c>
      <c r="C281" s="1" t="n">
        <v>73.59</v>
      </c>
      <c r="D281" s="7" t="n">
        <f>HYPERLINK("https://www.somogyi.sk/product/friteza-4-l-2000-w-hgols4-18932","https://www.somogyi.sk/product/friteza-4-l-2000-w-hgols4-18932")</f>
        <v>0.0</v>
      </c>
      <c r="E281" s="7" t="n">
        <f>HYPERLINK("https://www.somogyi.sk/data/img/product_main_images/small/18932.jpg","https://www.somogyi.sk/data/img/product_main_images/small/18932.jpg")</f>
        <v>0.0</v>
      </c>
      <c r="F281" s="2" t="inlineStr">
        <is>
          <t>5999084969264</t>
        </is>
      </c>
      <c r="G281" s="4" t="inlineStr">
        <is>
          <t xml:space="preserve"> • výkon: 2000 W 
 • N/A: 2 malé a 1 veľký poniklovaný košík na pečenie 
 • regulácia teploty: 115 – 190 °C 
 •  
 •  
 • charakteristiky: „cool touch“ bočné strany • okienko a dvojvrstvový filter na veku 
 • napájanie: 220-240V~ 50/60Hz 
 • rozmery: 38 x 26 x 52 cm 
 • hmotnosť: 4 kg</t>
        </is>
      </c>
    </row>
    <row r="282">
      <c r="A282" s="3" t="inlineStr">
        <is>
          <t>HG R 02WH</t>
        </is>
      </c>
      <c r="B282" s="2" t="inlineStr">
        <is>
          <t>Prenosná elektrická dvojplatnička, 1500   1000 W</t>
        </is>
      </c>
      <c r="C282" s="1" t="n">
        <v>36.49</v>
      </c>
      <c r="D282" s="7" t="n">
        <f>HYPERLINK("https://www.somogyi.sk/product/prenosna-elektricka-dvojplatnicka-1500-1000-w-hg-r-02wh-17904","https://www.somogyi.sk/product/prenosna-elektricka-dvojplatnicka-1500-1000-w-hg-r-02wh-17904")</f>
        <v>0.0</v>
      </c>
      <c r="E282" s="7" t="n">
        <f>HYPERLINK("https://www.somogyi.sk/data/img/product_main_images/small/17904.jpg","https://www.somogyi.sk/data/img/product_main_images/small/17904.jpg")</f>
        <v>0.0</v>
      </c>
      <c r="F282" s="2" t="inlineStr">
        <is>
          <t>5999084959265</t>
        </is>
      </c>
      <c r="G282" s="4" t="inlineStr">
        <is>
          <t xml:space="preserve"> • výkon: 2500 W 
 • počet platničiek: 2 
 • regulácia teploty: áno (5 stupňov) 
 • ovládacie prvky: regulátor teploty 
 • varná doska: ∅15 cm (1000 W) a ∅18 cm (1500 W) platne na varenie 
 • napájanie: 230 V~ / 50 Hz 
 • rozmery: 47 x 6,5 x 25,5 cm • (hmotnosť: 3,3 kg)</t>
        </is>
      </c>
    </row>
    <row r="283">
      <c r="A283" s="6" t="inlineStr">
        <is>
          <t xml:space="preserve">   Domáce spotrebiče / Kávovar</t>
        </is>
      </c>
      <c r="B283" s="6" t="inlineStr">
        <is>
          <t/>
        </is>
      </c>
      <c r="C283" s="6" t="inlineStr">
        <is>
          <t/>
        </is>
      </c>
      <c r="D283" s="6" t="inlineStr">
        <is>
          <t/>
        </is>
      </c>
      <c r="E283" s="6" t="inlineStr">
        <is>
          <t/>
        </is>
      </c>
      <c r="F283" s="6" t="inlineStr">
        <is>
          <t/>
        </is>
      </c>
      <c r="G283" s="6" t="inlineStr">
        <is>
          <t/>
        </is>
      </c>
    </row>
    <row r="284">
      <c r="A284" s="3" t="inlineStr">
        <is>
          <t>HG PR 06</t>
        </is>
      </c>
      <c r="B284" s="2" t="inlineStr">
        <is>
          <t>Presso kávovar, 240 ml, 3,5 bar, čierna</t>
        </is>
      </c>
      <c r="C284" s="1" t="n">
        <v>55.49</v>
      </c>
      <c r="D284" s="7" t="n">
        <f>HYPERLINK("https://www.somogyi.sk/product/presso-kavovar-240-ml-3-5-bar-cierna-hg-pr-06-15959","https://www.somogyi.sk/product/presso-kavovar-240-ml-3-5-bar-cierna-hg-pr-06-15959")</f>
        <v>0.0</v>
      </c>
      <c r="E284" s="7" t="n">
        <f>HYPERLINK("https://www.somogyi.sk/data/img/product_main_images/small/15959.jpg","https://www.somogyi.sk/data/img/product_main_images/small/15959.jpg")</f>
        <v>0.0</v>
      </c>
      <c r="F284" s="2" t="inlineStr">
        <is>
          <t>5999084939939</t>
        </is>
      </c>
      <c r="G284" s="4" t="inlineStr">
        <is>
          <t xml:space="preserve"> • výkon: 800 W 
 • kapacita: 4 šálky 
 • typ kávy: presso, kapučíno 
 • funkcia pary: áno 
 • vyberateľná tácka na odkvapkávanie: áno 
 • ochrana proti prehriatiu: áno 
 • rozmery: 17 x 32 x 23,5 cm 
 • hmotnosť: 1,8 kg 
 • ostatný popis: 3,5 bar tlak, protišmykové nožičky, držiak kábla 
 • napájanie: 230 V~</t>
        </is>
      </c>
    </row>
    <row r="285">
      <c r="A285" s="3" t="inlineStr">
        <is>
          <t>MA-D1502AW</t>
        </is>
      </c>
      <c r="B285" s="2" t="inlineStr">
        <is>
          <t>MIDEA Kávovar</t>
        </is>
      </c>
      <c r="C285" s="1" t="n">
        <v>35.99</v>
      </c>
      <c r="D285" s="7" t="n">
        <f>HYPERLINK("https://www.somogyi.sk/product/midea-kavovar-ma-d1502aw-17807","https://www.somogyi.sk/product/midea-kavovar-ma-d1502aw-17807")</f>
        <v>0.0</v>
      </c>
      <c r="E285" s="7" t="n">
        <f>HYPERLINK("https://www.somogyi.sk/data/img/product_main_images/small/17807.jpg","https://www.somogyi.sk/data/img/product_main_images/small/17807.jpg")</f>
        <v>0.0</v>
      </c>
      <c r="F285" s="2" t="inlineStr">
        <is>
          <t>6939962756097</t>
        </is>
      </c>
      <c r="G285" s="4" t="inlineStr">
        <is>
          <t xml:space="preserve"> • výkon: 1000 W 
 • kapacita: 1,25 l kapacita, 10 šálok kávy 
 • rozmery: 26,5 x 17 x 33 cm / hmotnosť: 1,61 kg 
 • hmotnosť: 1,61 kg 
 • napájanie: 220-240 V~ /  50-60 Hz</t>
        </is>
      </c>
    </row>
    <row r="286">
      <c r="A286" s="3" t="inlineStr">
        <is>
          <t>HG PR 06/K</t>
        </is>
      </c>
      <c r="B286" s="2" t="inlineStr">
        <is>
          <t>Sklenená kanvica pre kávovar, 240 ml</t>
        </is>
      </c>
      <c r="C286" s="1" t="n">
        <v>8.09</v>
      </c>
      <c r="D286" s="7" t="n">
        <f>HYPERLINK("https://www.somogyi.sk/product/sklenena-kanvica-pre-kavovar-240-ml-hg-pr-06-k-15960","https://www.somogyi.sk/product/sklenena-kanvica-pre-kavovar-240-ml-hg-pr-06-k-15960")</f>
        <v>0.0</v>
      </c>
      <c r="E286" s="7" t="n">
        <f>HYPERLINK("https://www.somogyi.sk/data/img/product_main_images/small/15960.jpg","https://www.somogyi.sk/data/img/product_main_images/small/15960.jpg")</f>
        <v>0.0</v>
      </c>
      <c r="F286" s="2" t="inlineStr">
        <is>
          <t>5999084939946</t>
        </is>
      </c>
      <c r="G286" s="4" t="inlineStr">
        <is>
          <t xml:space="preserve"> • kapacita: 4 šálky  (240 ml) 
 • ostatný popis: ku kávovaru HG PR 06</t>
        </is>
      </c>
    </row>
    <row r="287">
      <c r="A287" s="3" t="inlineStr">
        <is>
          <t>10-104-007</t>
        </is>
      </c>
      <c r="B287" s="2" t="inlineStr">
        <is>
          <t>Nava výlevka 600 ml</t>
        </is>
      </c>
      <c r="C287" s="1" t="n">
        <v>11.89</v>
      </c>
      <c r="D287" s="7" t="n">
        <f>HYPERLINK("https://www.somogyi.sk/product/nava-vylevka-600-ml-10-104-007-17683","https://www.somogyi.sk/product/nava-vylevka-600-ml-10-104-007-17683")</f>
        <v>0.0</v>
      </c>
      <c r="E287" s="7" t="n">
        <f>HYPERLINK("https://www.somogyi.sk/data/img/product_main_images/small/17683.jpg","https://www.somogyi.sk/data/img/product_main_images/small/17683.jpg")</f>
        <v>0.0</v>
      </c>
      <c r="F287" s="2" t="inlineStr">
        <is>
          <t>5205746886504</t>
        </is>
      </c>
      <c r="G287" s="4" t="inlineStr">
        <is>
          <t xml:space="preserve"> • 600 ml objem 
 • nepriľnavý kameninový povrch 
 • vhodný na umývanie v umývačke riadu</t>
        </is>
      </c>
    </row>
    <row r="288">
      <c r="A288" s="3" t="inlineStr">
        <is>
          <t>CE-923</t>
        </is>
      </c>
      <c r="B288" s="2" t="inlineStr">
        <is>
          <t>Kávovar</t>
        </is>
      </c>
      <c r="C288" s="1" t="n">
        <v>41.99</v>
      </c>
      <c r="D288" s="7" t="n">
        <f>HYPERLINK("https://www.somogyi.sk/product/kavovar-ce-923-11967","https://www.somogyi.sk/product/kavovar-ce-923-11967")</f>
        <v>0.0</v>
      </c>
      <c r="E288" s="7" t="n">
        <f>HYPERLINK("https://www.somogyi.sk/data/img/product_main_images/small/11967.jpg","https://www.somogyi.sk/data/img/product_main_images/small/11967.jpg")</f>
        <v>0.0</v>
      </c>
      <c r="F288" s="2" t="inlineStr">
        <is>
          <t>5998777300551</t>
        </is>
      </c>
      <c r="G288" s="4" t="inlineStr">
        <is>
          <t xml:space="preserve"> • výkon: 750 W 
 • kapacita: 4 šálky 
 • typ kávy: presso káva, kapučíno 
 • funkcia pary: áno 
 • vyberateľná tácka na odkvapkávanie: áno 
 • ochrana proti prehriatiu: áno 
 • ostatný popis: - 
 • napájanie: 230 V~ / 50 Hz</t>
        </is>
      </c>
    </row>
    <row r="289">
      <c r="A289" s="3" t="inlineStr">
        <is>
          <t>ESCM15DBK</t>
        </is>
      </c>
      <c r="B289" s="2" t="inlineStr">
        <is>
          <t>Gorenje digitálny presso kávovar</t>
        </is>
      </c>
      <c r="C289" s="1" t="n">
        <v>131.9</v>
      </c>
      <c r="D289" s="7" t="n">
        <f>HYPERLINK("https://www.somogyi.sk/product/gorenje-digitalny-presso-kavovar-escm15dbk-17657","https://www.somogyi.sk/product/gorenje-digitalny-presso-kavovar-escm15dbk-17657")</f>
        <v>0.0</v>
      </c>
      <c r="E289" s="7" t="n">
        <f>HYPERLINK("https://www.somogyi.sk/data/img/product_main_images/small/17657.jpg","https://www.somogyi.sk/data/img/product_main_images/small/17657.jpg")</f>
        <v>0.0</v>
      </c>
      <c r="F289" s="2" t="inlineStr">
        <is>
          <t>3838782463778</t>
        </is>
      </c>
      <c r="G289" s="4" t="inlineStr">
        <is>
          <t xml:space="preserve"> • výkon: 1100 W 
 • kapacita: 1 &amp; 2 šálky 
 • typ kávy: espresso, kapuccino 
 • vyberateľná tácka na odkvapkávanie: áno 
 • ochrana proti prehriatiu: ochrana proti prepätiu a pretlaku 
 • rozmery: 27,4 × 30 × 27,2 cm 
 • ostatný popis: • 15 bar vysokotlakové čerpadlo • dotykový displej • manuálna funkcia pary • 1,5 l nádrž na vodu • funkcia vysokotlakového napenenia • nerezový hliníkový filter na prípravu 1 alebo 2 šálok • kotol z hliníkovej zliatiny • presná regulácia teploty 
 • napájanie: 230 V~ / 50 Hz</t>
        </is>
      </c>
    </row>
    <row r="290">
      <c r="A290" s="6" t="inlineStr">
        <is>
          <t xml:space="preserve">   Domáce spotrebiče / Sendvičovač, waflovač</t>
        </is>
      </c>
      <c r="B290" s="6" t="inlineStr">
        <is>
          <t/>
        </is>
      </c>
      <c r="C290" s="6" t="inlineStr">
        <is>
          <t/>
        </is>
      </c>
      <c r="D290" s="6" t="inlineStr">
        <is>
          <t/>
        </is>
      </c>
      <c r="E290" s="6" t="inlineStr">
        <is>
          <t/>
        </is>
      </c>
      <c r="F290" s="6" t="inlineStr">
        <is>
          <t/>
        </is>
      </c>
      <c r="G290" s="6" t="inlineStr">
        <is>
          <t/>
        </is>
      </c>
    </row>
    <row r="291">
      <c r="A291" s="3" t="inlineStr">
        <is>
          <t>HGOS4</t>
        </is>
      </c>
      <c r="B291" s="2" t="inlineStr">
        <is>
          <t>Oblátkovač, 1200 W</t>
        </is>
      </c>
      <c r="C291" s="1" t="n">
        <v>38.69</v>
      </c>
      <c r="D291" s="7" t="n">
        <f>HYPERLINK("https://www.somogyi.sk/product/oblatkovac-1200-w-hgos4-19017","https://www.somogyi.sk/product/oblatkovac-1200-w-hgos4-19017")</f>
        <v>0.0</v>
      </c>
      <c r="E291" s="7" t="n">
        <f>HYPERLINK("https://www.somogyi.sk/data/img/product_main_images/small/19017.jpg","https://www.somogyi.sk/data/img/product_main_images/small/19017.jpg")</f>
        <v>0.0</v>
      </c>
      <c r="F291" s="2" t="inlineStr">
        <is>
          <t>5999084970116</t>
        </is>
      </c>
      <c r="G291" s="4" t="inlineStr">
        <is>
          <t xml:space="preserve"> • výkon: 1200 W 
 •  
 • N/A: kontrolky zapnutia / pripravenosti na pečenie 
 • ochranná vrstva proti pripáleniu: áno 
 • protišmyková podložka: áno 
 • držiak kábla: áno 
 • rozmery: 25 x 10,5 x 30,5 cm 
 • hmotnosť: 2,2 kg 
 • napájanie: 220-240 V~ / 50-60 Hz</t>
        </is>
      </c>
    </row>
    <row r="292">
      <c r="A292" s="3" t="inlineStr">
        <is>
          <t>HG BG 30</t>
        </is>
      </c>
      <c r="B292" s="2" t="inlineStr">
        <is>
          <t>Vaflovač, bublinkový</t>
        </is>
      </c>
      <c r="C292" s="1" t="n">
        <v>23.79</v>
      </c>
      <c r="D292" s="7" t="n">
        <f>HYPERLINK("https://www.somogyi.sk/product/vaflovac-bublinkovy-hg-bg-30-17625","https://www.somogyi.sk/product/vaflovac-bublinkovy-hg-bg-30-17625")</f>
        <v>0.0</v>
      </c>
      <c r="E292" s="7" t="n">
        <f>HYPERLINK("https://www.somogyi.sk/data/img/product_main_images/small/17625.jpg","https://www.somogyi.sk/data/img/product_main_images/small/17625.jpg")</f>
        <v>0.0</v>
      </c>
      <c r="F292" s="2" t="inlineStr">
        <is>
          <t>5999084956479</t>
        </is>
      </c>
      <c r="G292" s="4" t="inlineStr">
        <is>
          <t xml:space="preserve"> • výkon: 900 W 
 • funkcia: súčasne je možné vyrobiť jednu šesťhrannú bublinkovú vafle pozostávajúcu z 30 vaflových bublín 
 • kryt: plast 
 • ochranná vrstva proti pripáleniu: áno 
 • ďalšie informácie: kontrolka napätia / pripravený na pečenie • jednoduché čistenie • s držiakom kábla 
 • rozmery: 21 cm x 11 cm x 26 cm 
 • napájanie: 230 V~ / 50 Hz</t>
        </is>
      </c>
    </row>
    <row r="293">
      <c r="A293" s="3" t="inlineStr">
        <is>
          <t>HG GS 21</t>
        </is>
      </c>
      <c r="B293" s="2" t="inlineStr">
        <is>
          <t>Vaflovač, 750 W</t>
        </is>
      </c>
      <c r="C293" s="1" t="n">
        <v>23.99</v>
      </c>
      <c r="D293" s="7" t="n">
        <f>HYPERLINK("https://www.somogyi.sk/product/vaflovac-750-w-hg-gs-21-16578","https://www.somogyi.sk/product/vaflovac-750-w-hg-gs-21-16578")</f>
        <v>0.0</v>
      </c>
      <c r="E293" s="7" t="n">
        <f>HYPERLINK("https://www.somogyi.sk/data/img/product_main_images/small/16578.jpg","https://www.somogyi.sk/data/img/product_main_images/small/16578.jpg")</f>
        <v>0.0</v>
      </c>
      <c r="F293" s="2" t="inlineStr">
        <is>
          <t>5999084946104</t>
        </is>
      </c>
      <c r="G293" s="4" t="inlineStr">
        <is>
          <t xml:space="preserve"> • výkon: 750 W 
 • ochranná vrstva proti pripáleniu: áno 
 • ďalšie informácie: možnosť pripraviť naraz 2 vafle 
 • kontrolky: pod napätím / pripravený na opekanie 
 • rozmery: 22 x 7,5 x 23 cm</t>
        </is>
      </c>
    </row>
    <row r="294">
      <c r="A294" s="3" t="inlineStr">
        <is>
          <t>HG GK 04</t>
        </is>
      </c>
      <c r="B294" s="2" t="inlineStr">
        <is>
          <t>Prístroj na vaflové košíčky, 520 W</t>
        </is>
      </c>
      <c r="C294" s="1" t="n">
        <v>18.39</v>
      </c>
      <c r="D294" s="7" t="n">
        <f>HYPERLINK("https://www.somogyi.sk/product/pristroj-na-vaflove-kosicky-520-w-hg-gk-04-15721","https://www.somogyi.sk/product/pristroj-na-vaflove-kosicky-520-w-hg-gk-04-15721")</f>
        <v>0.0</v>
      </c>
      <c r="E294" s="7" t="n">
        <f>HYPERLINK("https://www.somogyi.sk/data/img/product_main_images/small/15721.jpg","https://www.somogyi.sk/data/img/product_main_images/small/15721.jpg")</f>
        <v>0.0</v>
      </c>
      <c r="F294" s="2" t="inlineStr">
        <is>
          <t>5999084937553</t>
        </is>
      </c>
      <c r="G294" s="4" t="inlineStr">
        <is>
          <t xml:space="preserve"> • výkon: 520 W 
 • funkcia: 4 kusový 
 • kryt: plast 
 • izolačná rukoväť: áno 
 • ochranná vrstva proti pripáleniu: áno 
 • ochrana proti prehriatiu: áno 
 • ďalšie informácie: držiak kábla 
 • rozmery: 16 x 9 x 22 cm 
 • napájanie: 230 V~ / 50 Hz</t>
        </is>
      </c>
    </row>
    <row r="295">
      <c r="A295" s="3" t="inlineStr">
        <is>
          <t>HG SZ 04</t>
        </is>
      </c>
      <c r="B295" s="2" t="inlineStr">
        <is>
          <t>Sendvičovač, 750 W</t>
        </is>
      </c>
      <c r="C295" s="1" t="n">
        <v>18.29</v>
      </c>
      <c r="D295" s="7" t="n">
        <f>HYPERLINK("https://www.somogyi.sk/product/sendvicovac-750-w-hg-sz-04-18271","https://www.somogyi.sk/product/sendvicovac-750-w-hg-sz-04-18271")</f>
        <v>0.0</v>
      </c>
      <c r="E295" s="7" t="n">
        <f>HYPERLINK("https://www.somogyi.sk/data/img/product_main_images/small/18271.jpg","https://www.somogyi.sk/data/img/product_main_images/small/18271.jpg")</f>
        <v>0.0</v>
      </c>
      <c r="F295" s="2" t="inlineStr">
        <is>
          <t>5999084962937</t>
        </is>
      </c>
      <c r="G295" s="4" t="inlineStr">
        <is>
          <t xml:space="preserve"> • výkon: 750 W 
 • možnosť pripraviť naraz 2 sendviče 
 • kontrolky: pod napätím / pripravený na opekanie 
 • nepriľnavý povrch 
 • jednoduché čistenie 
 • držiak kábla 
 • napájanie: 220-240 V~ / 50-60 Hz 
 • rozmery: 22,2 cm x 9,5 x 22,1 cm</t>
        </is>
      </c>
    </row>
    <row r="296">
      <c r="A296" s="3" t="inlineStr">
        <is>
          <t>HG P 01</t>
        </is>
      </c>
      <c r="B296" s="2" t="inlineStr">
        <is>
          <t>Panini sendvičovač, 750 W</t>
        </is>
      </c>
      <c r="C296" s="1" t="n">
        <v>20.19</v>
      </c>
      <c r="D296" s="7" t="n">
        <f>HYPERLINK("https://www.somogyi.sk/product/panini-sendvicovac-750-w-hg-p-01-16860","https://www.somogyi.sk/product/panini-sendvicovac-750-w-hg-p-01-16860")</f>
        <v>0.0</v>
      </c>
      <c r="E296" s="7" t="n">
        <f>HYPERLINK("https://www.somogyi.sk/data/img/product_main_images/small/16860.jpg","https://www.somogyi.sk/data/img/product_main_images/small/16860.jpg")</f>
        <v>0.0</v>
      </c>
      <c r="F296" s="2" t="inlineStr">
        <is>
          <t>5999084948924</t>
        </is>
      </c>
      <c r="G296" s="4" t="inlineStr">
        <is>
          <t xml:space="preserve"> • výkon: 750 W 
 • funkcia: sendvičovač 
 • izolačná rukoväť: áno 
 • ochranná vrstva proti pripáleniu: áno 
 • protišmyková podložka: áno 
 • ďalšie informácie: kontrolka napätia / pripravený na pečenie 
 • rozmery: 23 cm x 9 cm x 21 cm 
 • napájanie: 230 V~ / 50 Hz</t>
        </is>
      </c>
    </row>
    <row r="297">
      <c r="A297" s="3" t="inlineStr">
        <is>
          <t>HGOS19</t>
        </is>
      </c>
      <c r="B297" s="2" t="inlineStr">
        <is>
          <t>Oblátkovač, 1000 W</t>
        </is>
      </c>
      <c r="C297" s="1" t="n">
        <v>24.69</v>
      </c>
      <c r="D297" s="7" t="n">
        <f>HYPERLINK("https://www.somogyi.sk/product/oblatkovac-1000-w-hgos19-18481","https://www.somogyi.sk/product/oblatkovac-1000-w-hgos19-18481")</f>
        <v>0.0</v>
      </c>
      <c r="E297" s="7" t="n">
        <f>HYPERLINK("https://www.somogyi.sk/data/img/product_main_images/small/18481.jpg","https://www.somogyi.sk/data/img/product_main_images/small/18481.jpg")</f>
        <v>0.0</v>
      </c>
      <c r="F297" s="2" t="inlineStr">
        <is>
          <t>5999084964993</t>
        </is>
      </c>
      <c r="G297" s="4" t="inlineStr">
        <is>
          <t xml:space="preserve"> • výkon: 1000 W 
 • funkcia: možno vyrobiť oblátky s priemerom 19 cm 
 • kryt: plast 
 • ochranná vrstva proti pripáleniu: áno 
 • ochrana proti prehriatiu: áno 
 • protišmyková podložka: áno 
 • ďalšie informácie: kontrolky zapnutia / pripravenosti na pečenie, držiak kábla 
 • rozmery: 19,5 x 11 x 25 cm 
 • napájanie: 230 V~ / 50 Hz</t>
        </is>
      </c>
    </row>
    <row r="298">
      <c r="A298" s="6" t="inlineStr">
        <is>
          <t xml:space="preserve">   Domáce spotrebiče / Mixér, mlynček</t>
        </is>
      </c>
      <c r="B298" s="6" t="inlineStr">
        <is>
          <t/>
        </is>
      </c>
      <c r="C298" s="6" t="inlineStr">
        <is>
          <t/>
        </is>
      </c>
      <c r="D298" s="6" t="inlineStr">
        <is>
          <t/>
        </is>
      </c>
      <c r="E298" s="6" t="inlineStr">
        <is>
          <t/>
        </is>
      </c>
      <c r="F298" s="6" t="inlineStr">
        <is>
          <t/>
        </is>
      </c>
      <c r="G298" s="6" t="inlineStr">
        <is>
          <t/>
        </is>
      </c>
    </row>
    <row r="299">
      <c r="A299" s="3" t="inlineStr">
        <is>
          <t>MJ-BL5001AW2</t>
        </is>
      </c>
      <c r="B299" s="2" t="inlineStr">
        <is>
          <t>MIDEA mixér, 1,5 l, 600W</t>
        </is>
      </c>
      <c r="C299" s="1" t="n">
        <v>86.09</v>
      </c>
      <c r="D299" s="7" t="n">
        <f>HYPERLINK("https://www.somogyi.sk/product/midea-mixer-1-5-l-600w-mj-bl5001aw2-17809","https://www.somogyi.sk/product/midea-mixer-1-5-l-600w-mj-bl5001aw2-17809")</f>
        <v>0.0</v>
      </c>
      <c r="E299" s="7" t="n">
        <f>HYPERLINK("https://www.somogyi.sk/data/img/product_main_images/small/17809.jpg","https://www.somogyi.sk/data/img/product_main_images/small/17809.jpg")</f>
        <v>0.0</v>
      </c>
      <c r="F299" s="2" t="inlineStr">
        <is>
          <t>6939962765594</t>
        </is>
      </c>
      <c r="G299" s="4" t="inlineStr">
        <is>
          <t xml:space="preserve"> • výkon: 600 W 
 • kapacita: 1,5 l 
 • N/A: 21000 otáčok/min. 
 • nôž: 6 čepelí 
 • charakteristiky: nastaviteľná rýchlosť, signalizačné svetlo 
 •  
 • priľnavé podstavce: áno 
 • napájanie: 230 V~ / 50 Hz 
 • rozmery: 271 x 220 x 398 mm 
 • hmotnosť: 4,1 kg</t>
        </is>
      </c>
    </row>
    <row r="300">
      <c r="A300" s="3" t="inlineStr">
        <is>
          <t>HG KD 75</t>
        </is>
      </c>
      <c r="B300" s="2" t="inlineStr">
        <is>
          <t>Mlynček na kávu, 75 g</t>
        </is>
      </c>
      <c r="C300" s="1" t="n">
        <v>21.39</v>
      </c>
      <c r="D300" s="7" t="n">
        <f>HYPERLINK("https://www.somogyi.sk/product/mlyncek-na-kavu-75-g-hg-kd-75-17063","https://www.somogyi.sk/product/mlyncek-na-kavu-75-g-hg-kd-75-17063")</f>
        <v>0.0</v>
      </c>
      <c r="E300" s="7" t="n">
        <f>HYPERLINK("https://www.somogyi.sk/data/img/product_main_images/small/17063.jpg","https://www.somogyi.sk/data/img/product_main_images/small/17063.jpg")</f>
        <v>0.0</v>
      </c>
      <c r="F300" s="2" t="inlineStr">
        <is>
          <t>5999084950958</t>
        </is>
      </c>
      <c r="G300" s="4" t="inlineStr">
        <is>
          <t xml:space="preserve"> • výkon: 150 W 
 • rýchlostné stupne: 1 
 • nôž: nehrdzavejúca oceľ 
 • napájanie: 230 V~ / 50 Hz 
 • rozmery: Ø10,5 cm x 19 cm 
 • ďalšie informácie: dĺžka kábla: 85 cm</t>
        </is>
      </c>
    </row>
    <row r="301">
      <c r="A301" s="3" t="inlineStr">
        <is>
          <t>BSM600E</t>
        </is>
      </c>
      <c r="B301" s="2" t="inlineStr">
        <is>
          <t>Gorenje smoothie maker</t>
        </is>
      </c>
      <c r="C301" s="1" t="n">
        <v>36.89</v>
      </c>
      <c r="D301" s="7" t="n">
        <f>HYPERLINK("https://www.somogyi.sk/product/gorenje-smoothie-maker-bsm600e-18296","https://www.somogyi.sk/product/gorenje-smoothie-maker-bsm600e-18296")</f>
        <v>0.0</v>
      </c>
      <c r="E301" s="7" t="n">
        <f>HYPERLINK("https://www.somogyi.sk/data/img/product_main_images/small/18296.jpg","https://www.somogyi.sk/data/img/product_main_images/small/18296.jpg")</f>
        <v>0.0</v>
      </c>
      <c r="F301" s="2" t="inlineStr">
        <is>
          <t>3838782512803</t>
        </is>
      </c>
      <c r="G301" s="4" t="inlineStr">
        <is>
          <t xml:space="preserve"> • výkon: 320 W 
 •  
 • príslušenstvo: 2 nádoby sú príslušenstvom 
 • napájanie: 230 V~ / 50 Hz 
 • rozmery: 13 x 40 x 17 cm 
 • hmotnosť: 1,5 kg 
 • farba: inox 
 • ďalšie informácie: tlačidlo štart</t>
        </is>
      </c>
    </row>
    <row r="302">
      <c r="A302" s="3" t="inlineStr">
        <is>
          <t>SMK150E</t>
        </is>
      </c>
      <c r="B302" s="2" t="inlineStr">
        <is>
          <t>Mlynček na kávu, 40 g</t>
        </is>
      </c>
      <c r="C302" s="1" t="n">
        <v>26.19</v>
      </c>
      <c r="D302" s="7" t="n">
        <f>HYPERLINK("https://www.somogyi.sk/product/mlyncek-na-kavu-40-g-smk150e-18299","https://www.somogyi.sk/product/mlyncek-na-kavu-40-g-smk150e-18299")</f>
        <v>0.0</v>
      </c>
      <c r="E302" s="7" t="n">
        <f>HYPERLINK("https://www.somogyi.sk/data/img/product_main_images/small/18299.jpg","https://www.somogyi.sk/data/img/product_main_images/small/18299.jpg")</f>
        <v>0.0</v>
      </c>
      <c r="F302" s="2" t="inlineStr">
        <is>
          <t>3838782069109</t>
        </is>
      </c>
      <c r="G302" s="4" t="inlineStr">
        <is>
          <t xml:space="preserve"> • výkon: 150 W 
 • kapacita: kapacita mlecej nádoby: 40 g 
 • nôž: čepeľ z nerezovej ocele 
 • priľnavé podstavce: áno 
 • napájanie: 230 V~ / 50 Hz 
 • rozmery: 8,5 x 21,5 x 10,5 cm 
 • hmotnosť: 0,8 kg 
 • bezpečnostný spínač: áno 
 • ochrana proti prehriatiu: áno</t>
        </is>
      </c>
    </row>
    <row r="303">
      <c r="A303" s="6" t="inlineStr">
        <is>
          <t xml:space="preserve">   Domáce spotrebiče / Univerzálny kuchynský robot</t>
        </is>
      </c>
      <c r="B303" s="6" t="inlineStr">
        <is>
          <t/>
        </is>
      </c>
      <c r="C303" s="6" t="inlineStr">
        <is>
          <t/>
        </is>
      </c>
      <c r="D303" s="6" t="inlineStr">
        <is>
          <t/>
        </is>
      </c>
      <c r="E303" s="6" t="inlineStr">
        <is>
          <t/>
        </is>
      </c>
      <c r="F303" s="6" t="inlineStr">
        <is>
          <t/>
        </is>
      </c>
      <c r="G303" s="6" t="inlineStr">
        <is>
          <t/>
        </is>
      </c>
    </row>
    <row r="304">
      <c r="A304" s="3" t="inlineStr">
        <is>
          <t>MMC800CW</t>
        </is>
      </c>
      <c r="B304" s="2" t="inlineStr">
        <is>
          <t>Gorenje kuchynský robot</t>
        </is>
      </c>
      <c r="C304" s="1" t="n">
        <v>156.9</v>
      </c>
      <c r="D304" s="7" t="n">
        <f>HYPERLINK("https://www.somogyi.sk/product/gorenje-kuchynsky-robot-mmc800cw-19064","https://www.somogyi.sk/product/gorenje-kuchynsky-robot-mmc800cw-19064")</f>
        <v>0.0</v>
      </c>
      <c r="E304" s="7" t="n">
        <f>HYPERLINK("https://www.somogyi.sk/data/img/product_main_images/small/19064.jpg","https://www.somogyi.sk/data/img/product_main_images/small/19064.jpg")</f>
        <v>0.0</v>
      </c>
      <c r="F304" s="2" t="inlineStr">
        <is>
          <t>3838782686689</t>
        </is>
      </c>
      <c r="G304" s="4" t="inlineStr">
        <is>
          <t xml:space="preserve"> • jemné štartovanie motora: áno 
 • výkon: max.800 W 
 • funkcie: 3D miešanie • bezpečnostné prerušenie 
 • N/A: automatická regulácia rýchlosti 
 • objem: 5 l 
 • ochrana proti prehriatiu: áno 
 • regulácia rýchlosti: 6 stupní 
 •  
 • napájanie: 230 V~ / 50 Hz 
 • rozmery: 338 x 308 x 220 mm 
 • hmotnosť: 4,2 kg</t>
        </is>
      </c>
    </row>
    <row r="305">
      <c r="A305" s="3" t="inlineStr">
        <is>
          <t>MJ-KM6001W</t>
        </is>
      </c>
      <c r="B305" s="2" t="inlineStr">
        <is>
          <t>MIDEA kuchynský robot, 4L, 600W</t>
        </is>
      </c>
      <c r="C305" s="1" t="n">
        <v>87.79</v>
      </c>
      <c r="D305" s="7" t="n">
        <f>HYPERLINK("https://www.somogyi.sk/product/midea-kuchynsky-robot-4l-600w-mj-km6001w-17810","https://www.somogyi.sk/product/midea-kuchynsky-robot-4l-600w-mj-km6001w-17810")</f>
        <v>0.0</v>
      </c>
      <c r="E305" s="7" t="n">
        <f>HYPERLINK("https://www.somogyi.sk/data/img/product_main_images/small/17810.jpg","https://www.somogyi.sk/data/img/product_main_images/small/17810.jpg")</f>
        <v>0.0</v>
      </c>
      <c r="F305" s="2" t="inlineStr">
        <is>
          <t>6939962772325</t>
        </is>
      </c>
      <c r="G305" s="4" t="inlineStr">
        <is>
          <t xml:space="preserve"> • výkon: 600 W 
 • objem: 4 l nerezová miešacia nádoba 
 • regulácia rýchlosti: 6 stupňov 
 •  
 • napájanie: 220-240 V~ / 50 Hz</t>
        </is>
      </c>
    </row>
    <row r="306">
      <c r="A306" s="6" t="inlineStr">
        <is>
          <t xml:space="preserve">   Domáce spotrebiče / Rýchlovarná kanvica</t>
        </is>
      </c>
      <c r="B306" s="6" t="inlineStr">
        <is>
          <t/>
        </is>
      </c>
      <c r="C306" s="6" t="inlineStr">
        <is>
          <t/>
        </is>
      </c>
      <c r="D306" s="6" t="inlineStr">
        <is>
          <t/>
        </is>
      </c>
      <c r="E306" s="6" t="inlineStr">
        <is>
          <t/>
        </is>
      </c>
      <c r="F306" s="6" t="inlineStr">
        <is>
          <t/>
        </is>
      </c>
      <c r="G306" s="6" t="inlineStr">
        <is>
          <t/>
        </is>
      </c>
    </row>
    <row r="307">
      <c r="A307" s="3" t="inlineStr">
        <is>
          <t>MK-17G03A2</t>
        </is>
      </c>
      <c r="B307" s="2" t="inlineStr">
        <is>
          <t>MIDEA rýchlovarná kanvica</t>
        </is>
      </c>
      <c r="C307" s="1" t="n">
        <v>25.99</v>
      </c>
      <c r="D307" s="7" t="n">
        <f>HYPERLINK("https://www.somogyi.sk/product/midea-rychlovarna-kanvica-mk-17g03a2-17803","https://www.somogyi.sk/product/midea-rychlovarna-kanvica-mk-17g03a2-17803")</f>
        <v>0.0</v>
      </c>
      <c r="E307" s="7" t="n">
        <f>HYPERLINK("https://www.somogyi.sk/data/img/product_main_images/small/17803.jpg","https://www.somogyi.sk/data/img/product_main_images/small/17803.jpg")</f>
        <v>0.0</v>
      </c>
      <c r="F307" s="2" t="inlineStr">
        <is>
          <t>6939962764320</t>
        </is>
      </c>
      <c r="G307" s="4" t="inlineStr">
        <is>
          <t xml:space="preserve"> • výkon: 1850 - 2200 W 
 • objem: 1,7 l 
 • otočná o 360°: áno 
 • vypnutie: automatické / manuálne 
 • držiak kábla: áno 
 • napájanie: 230 V~ / 50 Hz</t>
        </is>
      </c>
    </row>
    <row r="308">
      <c r="A308" s="3" t="inlineStr">
        <is>
          <t>JK-813 R</t>
        </is>
      </c>
      <c r="B308" s="2" t="inlineStr">
        <is>
          <t>Rýchlovarná kanvica, červená</t>
        </is>
      </c>
      <c r="C308" s="1" t="n">
        <v>14.49</v>
      </c>
      <c r="D308" s="7" t="n">
        <f>HYPERLINK("https://www.somogyi.sk/product/rychlovarna-kanvica-cervena-jk-813-r-13603","https://www.somogyi.sk/product/rychlovarna-kanvica-cervena-jk-813-r-13603")</f>
        <v>0.0</v>
      </c>
      <c r="E308" s="7" t="n">
        <f>HYPERLINK("https://www.somogyi.sk/data/img/product_main_images/small/13603.jpg","https://www.somogyi.sk/data/img/product_main_images/small/13603.jpg")</f>
        <v>0.0</v>
      </c>
      <c r="F308" s="2" t="inlineStr">
        <is>
          <t>5998777337854</t>
        </is>
      </c>
      <c r="G308" s="4" t="inlineStr">
        <is>
          <t xml:space="preserve"> • farba: červená 
 • výkon: 1000 W 
 • objem: 1 l 
 • skrytá špirála: áno 
 • otočná o 360°: áno 
 • ochrana proti prehriatiu: áno 
 • vypnutie: automatické/manuálne 
 • napájanie: 230 V~ / 50 Hz</t>
        </is>
      </c>
    </row>
    <row r="309">
      <c r="A309" s="3" t="inlineStr">
        <is>
          <t>MK-15H01A</t>
        </is>
      </c>
      <c r="B309" s="2" t="inlineStr">
        <is>
          <t>MIDEA rýchlovarná kanvica</t>
        </is>
      </c>
      <c r="C309" s="1" t="n">
        <v>32.29</v>
      </c>
      <c r="D309" s="7" t="n">
        <f>HYPERLINK("https://www.somogyi.sk/product/midea-rychlovarna-kanvica-mk-15h01a-17805","https://www.somogyi.sk/product/midea-rychlovarna-kanvica-mk-15h01a-17805")</f>
        <v>0.0</v>
      </c>
      <c r="E309" s="7" t="n">
        <f>HYPERLINK("https://www.somogyi.sk/data/img/product_main_images/small/17805.jpg","https://www.somogyi.sk/data/img/product_main_images/small/17805.jpg")</f>
        <v>0.0</v>
      </c>
      <c r="F309" s="2" t="inlineStr">
        <is>
          <t>6939962757636</t>
        </is>
      </c>
      <c r="G309" s="4" t="inlineStr">
        <is>
          <t xml:space="preserve"> • farba: biela 
 • výkon: 1850 - 2200 W 
 • objem: 1,5 l 
 • otočná o 360°: áno 
 • vypnutie: automatické / manuálne 
 • napájanie: 230 V~ / 50 Hz 
 • charakteristiky: dvojitý plášť - ochrana pred horúcim vonkajším krytom • bezzvarové vnútro z nehrdzavejúcej ocele, jednoduché čistenie • rýchle ohrievanie • otváranie krytu stlačením tlačidla</t>
        </is>
      </c>
    </row>
    <row r="310">
      <c r="A310" s="3" t="inlineStr">
        <is>
          <t>HG VF 04</t>
        </is>
      </c>
      <c r="B310" s="2" t="inlineStr">
        <is>
          <t>Rýchlovarná kanvica, 1850-2200 W, 1,7 L</t>
        </is>
      </c>
      <c r="C310" s="1" t="n">
        <v>25.69</v>
      </c>
      <c r="D310" s="7" t="n">
        <f>HYPERLINK("https://www.somogyi.sk/product/rychlovarna-kanvica-1850-2200-w-1-7-l-hg-vf-04-15231","https://www.somogyi.sk/product/rychlovarna-kanvica-1850-2200-w-1-7-l-hg-vf-04-15231")</f>
        <v>0.0</v>
      </c>
      <c r="E310" s="7" t="n">
        <f>HYPERLINK("https://www.somogyi.sk/data/img/product_main_images/small/15231.jpg","https://www.somogyi.sk/data/img/product_main_images/small/15231.jpg")</f>
        <v>0.0</v>
      </c>
      <c r="F310" s="2" t="inlineStr">
        <is>
          <t>5999084932657</t>
        </is>
      </c>
      <c r="G310" s="4" t="inlineStr">
        <is>
          <t xml:space="preserve"> • farba: inox 
 • výkon: 2000 W 
 • objem: 1,7 l 
 • skrytá špirála: áno 
 • otočná o 360°: áno 
 • ochrana proti prehriatiu: áno 
 • vypnutie: automatické / manuálne 
 • vodný filter: odstrániteľný 
 • držiak kábla: áno 
 • napájanie: 230 V~ / 50 Hz 
 • rozmery: Ø16 cm x 26 cm x 24 cm 
 • hmotnosť: 0,8 kg</t>
        </is>
      </c>
    </row>
    <row r="311">
      <c r="A311" s="3" t="inlineStr">
        <is>
          <t>HG VF 05</t>
        </is>
      </c>
      <c r="B311" s="2" t="inlineStr">
        <is>
          <t>Rýchlovarná kanvica, 2000 W, 1,2 L</t>
        </is>
      </c>
      <c r="C311" s="1" t="n">
        <v>18.89</v>
      </c>
      <c r="D311" s="7" t="n">
        <f>HYPERLINK("https://www.somogyi.sk/product/rychlovarna-kanvica-2000-w-1-2-l-hg-vf-05-17072","https://www.somogyi.sk/product/rychlovarna-kanvica-2000-w-1-2-l-hg-vf-05-17072")</f>
        <v>0.0</v>
      </c>
      <c r="E311" s="7" t="n">
        <f>HYPERLINK("https://www.somogyi.sk/data/img/product_main_images/small/17072.jpg","https://www.somogyi.sk/data/img/product_main_images/small/17072.jpg")</f>
        <v>0.0</v>
      </c>
      <c r="F311" s="2" t="inlineStr">
        <is>
          <t>5999084951047</t>
        </is>
      </c>
      <c r="G311" s="4" t="inlineStr">
        <is>
          <t xml:space="preserve"> • farba: biela/sivá 
 • výkon: 1850 - 2000 W 
 • objem: 1,2 l 
 • skrytá špirála: áno 
 • otočná o 360°: áno 
 • ochrana proti prehriatiu: áno 
 • vypnutie: automatický / manuálny 
 • vodný filter: odstrániteľný 
 • držiak kábla: áno 
 • napájanie: 230 V~ / 50 Hz 
 • rozmery: Ø14 cm x 21 cm x 19,5 cm 
 • hmotnosť: 0,7 kg</t>
        </is>
      </c>
    </row>
    <row r="312">
      <c r="A312" s="6" t="inlineStr">
        <is>
          <t xml:space="preserve">   Domáce spotrebiče / Vysávač</t>
        </is>
      </c>
      <c r="B312" s="6" t="inlineStr">
        <is>
          <t/>
        </is>
      </c>
      <c r="C312" s="6" t="inlineStr">
        <is>
          <t/>
        </is>
      </c>
      <c r="D312" s="6" t="inlineStr">
        <is>
          <t/>
        </is>
      </c>
      <c r="E312" s="6" t="inlineStr">
        <is>
          <t/>
        </is>
      </c>
      <c r="F312" s="6" t="inlineStr">
        <is>
          <t/>
        </is>
      </c>
      <c r="G312" s="6" t="inlineStr">
        <is>
          <t/>
        </is>
      </c>
    </row>
    <row r="313">
      <c r="A313" s="3" t="inlineStr">
        <is>
          <t>DXVA19-2558</t>
        </is>
      </c>
      <c r="B313" s="2" t="inlineStr">
        <is>
          <t>DeWalt hlavica vysávača, hrdlová trubica, 48 mm x 2,1 m</t>
        </is>
      </c>
      <c r="C313" s="1" t="n">
        <v>30.39</v>
      </c>
      <c r="D313" s="7" t="n">
        <f>HYPERLINK("https://www.somogyi.sk/product/dewalt-hlavica-vysavaca-hrdlova-trubica-48-mm-x-2-1-m-dxva19-2558-18263","https://www.somogyi.sk/product/dewalt-hlavica-vysavaca-hrdlova-trubica-48-mm-x-2-1-m-dxva19-2558-18263")</f>
        <v>0.0</v>
      </c>
      <c r="E313" s="7" t="n">
        <f>HYPERLINK("https://www.somogyi.sk/data/img/product_main_images/small/18263.jpg","https://www.somogyi.sk/data/img/product_main_images/small/18263.jpg")</f>
        <v>0.0</v>
      </c>
      <c r="F313" s="2" t="inlineStr">
        <is>
          <t>6921183097219</t>
        </is>
      </c>
      <c r="G313" s="4" t="inlineStr">
        <is>
          <t xml:space="preserve"> • vlastnosť: Hadica vysávača DeWalt • 48 mm x 2,1 m</t>
        </is>
      </c>
    </row>
    <row r="314">
      <c r="A314" s="3" t="inlineStr">
        <is>
          <t>I2A</t>
        </is>
      </c>
      <c r="B314" s="2" t="inlineStr">
        <is>
          <t>MIDEA vysávač, robotický</t>
        </is>
      </c>
      <c r="C314" s="1" t="n">
        <v>139.9</v>
      </c>
      <c r="D314" s="7" t="n">
        <f>HYPERLINK("https://www.somogyi.sk/product/midea-vysavac-roboticky-i2a-18942","https://www.somogyi.sk/product/midea-vysavac-roboticky-i2a-18942")</f>
        <v>0.0</v>
      </c>
      <c r="E314" s="7" t="n">
        <f>HYPERLINK("https://www.somogyi.sk/data/img/product_main_images/small/18942.jpg","https://www.somogyi.sk/data/img/product_main_images/small/18942.jpg")</f>
        <v>0.0</v>
      </c>
      <c r="F314" s="2" t="inlineStr">
        <is>
          <t>6956079729714</t>
        </is>
      </c>
      <c r="G314" s="4" t="inlineStr">
        <is>
          <t xml:space="preserve"> • funkcie: 2 in 1: vysáva a utiera 
 • výkon: 28 W výkon motora 
 • sila nasávania: nastaviteľný sací výkon a objem vody 
 • napájanie: akumulátor: Li-ion technológia (14,4 V, 2000 mAh) 
 • HEPA filter: áno 
 • hmotnosť: 2,5 kg 
 • príslušenstvo: diaľkový ovládač</t>
        </is>
      </c>
    </row>
    <row r="315">
      <c r="A315" s="3" t="inlineStr">
        <is>
          <t>MBO1PLRE</t>
        </is>
      </c>
      <c r="B315" s="2" t="inlineStr">
        <is>
          <t>MIDEA vysávač, vreckový, 1,5 l, HEPA12</t>
        </is>
      </c>
      <c r="C315" s="1" t="n">
        <v>54.39</v>
      </c>
      <c r="D315" s="7" t="n">
        <f>HYPERLINK("https://www.somogyi.sk/product/midea-vysavac-vreckovy-1-5-l-hepa12-mbo1plre-18941","https://www.somogyi.sk/product/midea-vysavac-vreckovy-1-5-l-hepa12-mbo1plre-18941")</f>
        <v>0.0</v>
      </c>
      <c r="E315" s="7" t="n">
        <f>HYPERLINK("https://www.somogyi.sk/data/img/product_main_images/small/18941.jpg","https://www.somogyi.sk/data/img/product_main_images/small/18941.jpg")</f>
        <v>0.0</v>
      </c>
      <c r="F315" s="2" t="inlineStr">
        <is>
          <t>6956079721497</t>
        </is>
      </c>
      <c r="G315" s="4" t="inlineStr">
        <is>
          <t xml:space="preserve"> • funkcie: vreckový vysávač 
 • výkon: 700 W výkon motora 
 • objem prachového vrecka: 1,5 l vrecko na prach 
 • navijak prívodného kábla: áno 
 • N/A: 5 m 
 • hmotnosť: netto 3,6 kg 
 • príslušenstvo: všeobecná čistiaca hlavica, kombinovaná kefová/štrbinová hlavica, umývateľné vrecko na prach 
 • vlastnosť: 8 m dosah</t>
        </is>
      </c>
    </row>
    <row r="316">
      <c r="A316" s="3" t="inlineStr">
        <is>
          <t>DXV20P</t>
        </is>
      </c>
      <c r="B316" s="2" t="inlineStr">
        <is>
          <t>DeWalt 20 l, suchý/mokrý vysávač</t>
        </is>
      </c>
      <c r="C316" s="1" t="n">
        <v>125.9</v>
      </c>
      <c r="D316" s="7" t="n">
        <f>HYPERLINK("https://www.somogyi.sk/product/dewalt-20-l-suchy-mokry-vysavac-dxv20p-18254","https://www.somogyi.sk/product/dewalt-20-l-suchy-mokry-vysavac-dxv20p-18254")</f>
        <v>0.0</v>
      </c>
      <c r="E316" s="7" t="n">
        <f>HYPERLINK("https://www.somogyi.sk/data/img/product_main_images/small/18254.jpg","https://www.somogyi.sk/data/img/product_main_images/small/18254.jpg")</f>
        <v>0.0</v>
      </c>
      <c r="F316" s="2" t="inlineStr">
        <is>
          <t>6921183087630</t>
        </is>
      </c>
      <c r="G316" s="4" t="inlineStr">
        <is>
          <t xml:space="preserve"> • farba: žltá / čierna 
 • výkon: 1050 W 
 • N/A: 20 l 
 • N/A: ∅48 mm x 2,1 m 
 • prietok vzduchu: 37,8 l / sek. 
 • sila nasávania: 15 KPa sací výkon (230 V~) 
 • napájanie: 230 V~ / 50 Hz 
 • N/A: 3 m 
 • ďalšie informácie: typ vrecka na prach: DXVA19-4204</t>
        </is>
      </c>
    </row>
    <row r="317">
      <c r="A317" s="3" t="inlineStr">
        <is>
          <t>DXVA25-4240</t>
        </is>
      </c>
      <c r="B317" s="2" t="inlineStr">
        <is>
          <t>DeWalt vrecko na prach pre "Toolbox", 3 ks</t>
        </is>
      </c>
      <c r="C317" s="1" t="n">
        <v>15.49</v>
      </c>
      <c r="D317" s="7" t="n">
        <f>HYPERLINK("https://www.somogyi.sk/product/dewalt-vrecko-na-prach-pre-toolbox-3-ks-dxva25-4240-18681","https://www.somogyi.sk/product/dewalt-vrecko-na-prach-pre-toolbox-3-ks-dxva25-4240-18681")</f>
        <v>0.0</v>
      </c>
      <c r="E317" s="7" t="n">
        <f>HYPERLINK("https://www.somogyi.sk/data/img/product_main_images/small/18681.jpg","https://www.somogyi.sk/data/img/product_main_images/small/18681.jpg")</f>
        <v>0.0</v>
      </c>
      <c r="F317" s="2" t="inlineStr">
        <is>
          <t>6921183097141</t>
        </is>
      </c>
      <c r="G317" s="4" t="inlineStr">
        <is>
          <t xml:space="preserve"> • vlastnosť: DeWalt vrecko na prach k Toolbox 
 • charakteristiky: vhodné pre 15 l vysávače na mokré a suché vysávanie DeWalt • robustný materiál • jednoduché pripevnenie a odstránenie</t>
        </is>
      </c>
    </row>
    <row r="318">
      <c r="A318" s="3" t="inlineStr">
        <is>
          <t>MVC72FW</t>
        </is>
      </c>
      <c r="B318" s="2" t="inlineStr">
        <is>
          <t>Gorenje ručný vysávač</t>
        </is>
      </c>
      <c r="C318" s="1" t="n">
        <v>46.99</v>
      </c>
      <c r="D318" s="7" t="n">
        <f>HYPERLINK("https://www.somogyi.sk/product/gorenje-rucny-vysavac-mvc72fw-15812","https://www.somogyi.sk/product/gorenje-rucny-vysavac-mvc72fw-15812")</f>
        <v>0.0</v>
      </c>
      <c r="E318" s="7" t="n">
        <f>HYPERLINK("https://www.somogyi.sk/data/img/product_main_images/small/15812.jpg","https://www.somogyi.sk/data/img/product_main_images/small/15812.jpg")</f>
        <v>0.0</v>
      </c>
      <c r="F318" s="2" t="inlineStr">
        <is>
          <t>3838782040542</t>
        </is>
      </c>
      <c r="G318" s="4" t="inlineStr">
        <is>
          <t xml:space="preserve"> • farba: biela 
 • výkon: 55 W 
 • objem prachového vrecka: nádoba na prach: 0,4 l 
 • napájanie: LI-ion akumulátor 7,2 V 
 • rozmery: 405 x 115 x 120 mm / 0,7 kg</t>
        </is>
      </c>
    </row>
    <row r="319">
      <c r="A319" s="3" t="inlineStr">
        <is>
          <t>C7 MBC1860WB</t>
        </is>
      </c>
      <c r="B319" s="2" t="inlineStr">
        <is>
          <t>MIDEA vysávač, bezvreckový, 3 l, HEPA12</t>
        </is>
      </c>
      <c r="C319" s="1" t="n">
        <v>86.69</v>
      </c>
      <c r="D319" s="7" t="n">
        <f>HYPERLINK("https://www.somogyi.sk/product/midea-vysavac-bezvreckovy-3-l-hepa12-c7-mbc1860wb-18938","https://www.somogyi.sk/product/midea-vysavac-bezvreckovy-3-l-hepa12-c7-mbc1860wb-18938")</f>
        <v>0.0</v>
      </c>
      <c r="E319" s="7" t="n">
        <f>HYPERLINK("https://www.somogyi.sk/data/img/product_main_images/small/18938.jpg","https://www.somogyi.sk/data/img/product_main_images/small/18938.jpg")</f>
        <v>0.0</v>
      </c>
      <c r="F319" s="2" t="inlineStr">
        <is>
          <t>6956079714536</t>
        </is>
      </c>
      <c r="G319" s="4" t="inlineStr">
        <is>
          <t xml:space="preserve"> • funkcie: bezvreckový vysávač 
 • výkon: 600 W výkon motora 
 • N/A: 3 l vrecko na prach 
 • navijak prívodného kábla: áno 
 • regulácia výkonu: bezstupňový 
 • sila nasávania: 130 W sací výkon 
 • napájanie: 230 V~ / 50 Hz 
 • HEPA filter: umývateľný filter HEPA12 
 • hlučnosť: 68 dB nízka hlučnosť 
 • N/A: 5 m 
 • hmotnosť: netto 5,75 kg 
 • príslušenstvo: všeobecná čistiaca hlavica, úzka hlavica, štrbinová hlavica, kruhová kefová hlavica (držiak príslušenstva na trubici) 
 • vlastnosť: 8 m dosah</t>
        </is>
      </c>
    </row>
    <row r="320">
      <c r="A320" s="3" t="inlineStr">
        <is>
          <t>SVC144FBK</t>
        </is>
      </c>
      <c r="B320" s="2" t="inlineStr">
        <is>
          <t>Tyčový vysávač Gorenje 2in1</t>
        </is>
      </c>
      <c r="C320" s="1" t="n">
        <v>119.9</v>
      </c>
      <c r="D320" s="7" t="n">
        <f>HYPERLINK("https://www.somogyi.sk/product/tycovy-vysavac-gorenje-2in1-svc144fbk-18294","https://www.somogyi.sk/product/tycovy-vysavac-gorenje-2in1-svc144fbk-18294")</f>
        <v>0.0</v>
      </c>
      <c r="E320" s="7" t="n">
        <f>HYPERLINK("https://www.somogyi.sk/data/img/product_main_images/small/18294.jpg","https://www.somogyi.sk/data/img/product_main_images/small/18294.jpg")</f>
        <v>0.0</v>
      </c>
      <c r="F320" s="2" t="inlineStr">
        <is>
          <t>3838782029400</t>
        </is>
      </c>
      <c r="G320" s="4" t="inlineStr">
        <is>
          <t xml:space="preserve"> • farba: čierna 
 • výkon: 95 W 
 • N/A: 0,6 l 
 • podlahová hubica: elektronický turbo 
 • prietok vzduchu: 10,5 l/s 
 • indikátor plnosti: indikátor nabitia batérie 
 • regulácia výkonu: na rukoväti 
 • napájanie: Li-Ion aku 14,4V 
 • HEPA filter: áno 
 • jemné štartovanie motora: áno 
 • hlučnosť: 80 dB(A) 
 • rozmery: 26 x 118 x 17 cm 
 • hmotnosť: 3 kg 
 • vlastnosť: vysávač 2v1   ručný vysávač • prevedenie bez vrecka na prach • bezdrôtová prevádzka 
 • N/A: áno</t>
        </is>
      </c>
    </row>
    <row r="321">
      <c r="A321" s="3" t="inlineStr">
        <is>
          <t>DXVA19-1900D</t>
        </is>
      </c>
      <c r="B321" s="2" t="inlineStr">
        <is>
          <t>DeWalt hlavica vysávača na čistenie podlahy, 48 mm</t>
        </is>
      </c>
      <c r="C321" s="1" t="n">
        <v>14.09</v>
      </c>
      <c r="D321" s="7" t="n">
        <f>HYPERLINK("https://www.somogyi.sk/product/dewalt-hlavica-vysavaca-na-cistenie-podlahy-48-mm-dxva19-1900d-18267","https://www.somogyi.sk/product/dewalt-hlavica-vysavaca-na-cistenie-podlahy-48-mm-dxva19-1900d-18267")</f>
        <v>0.0</v>
      </c>
      <c r="E321" s="7" t="n">
        <f>HYPERLINK("https://www.somogyi.sk/data/img/product_main_images/small/18267.jpg","https://www.somogyi.sk/data/img/product_main_images/small/18267.jpg")</f>
        <v>0.0</v>
      </c>
      <c r="F321" s="2" t="inlineStr">
        <is>
          <t>6921183097356</t>
        </is>
      </c>
      <c r="G321" s="4" t="inlineStr">
        <is>
          <t xml:space="preserve"> • vlastnosť: Hlavica vysávača DeWalt • podlahová hubica • 48 mm</t>
        </is>
      </c>
    </row>
    <row r="322">
      <c r="A322" s="3" t="inlineStr">
        <is>
          <t>DXVA19-1400</t>
        </is>
      </c>
      <c r="B322" s="2" t="inlineStr">
        <is>
          <t>DeWalt hlavica vysávača, medzerová sacia hlavica, 48 mm</t>
        </is>
      </c>
      <c r="C322" s="1" t="n">
        <v>14.19</v>
      </c>
      <c r="D322" s="7" t="n">
        <f>HYPERLINK("https://www.somogyi.sk/product/dewalt-hlavica-vysavaca-medzerova-sacia-hlavica-48-mm-dxva19-1400-18266","https://www.somogyi.sk/product/dewalt-hlavica-vysavaca-medzerova-sacia-hlavica-48-mm-dxva19-1400-18266")</f>
        <v>0.0</v>
      </c>
      <c r="E322" s="7" t="n">
        <f>HYPERLINK("https://www.somogyi.sk/data/img/product_main_images/small/18266.jpg","https://www.somogyi.sk/data/img/product_main_images/small/18266.jpg")</f>
        <v>0.0</v>
      </c>
      <c r="F322" s="2" t="inlineStr">
        <is>
          <t>6921183097332</t>
        </is>
      </c>
      <c r="G322" s="4" t="inlineStr">
        <is>
          <t xml:space="preserve"> • vlastnosť: Hlavica vysávača DeWalt • štrbinová hubica • 48 mm</t>
        </is>
      </c>
    </row>
    <row r="323">
      <c r="A323" s="3" t="inlineStr">
        <is>
          <t>DXVA19-1300</t>
        </is>
      </c>
      <c r="B323" s="2" t="inlineStr">
        <is>
          <t>DeWalt hlavica vysávača utility, 48 mm</t>
        </is>
      </c>
      <c r="C323" s="1" t="n">
        <v>9.69</v>
      </c>
      <c r="D323" s="7" t="n">
        <f>HYPERLINK("https://www.somogyi.sk/product/dewalt-hlavica-vysavaca-utility-48-mm-dxva19-1300-18269","https://www.somogyi.sk/product/dewalt-hlavica-vysavaca-utility-48-mm-dxva19-1300-18269")</f>
        <v>0.0</v>
      </c>
      <c r="E323" s="7" t="n">
        <f>HYPERLINK("https://www.somogyi.sk/data/img/product_main_images/small/18269.jpg","https://www.somogyi.sk/data/img/product_main_images/small/18269.jpg")</f>
        <v>0.0</v>
      </c>
      <c r="F323" s="2" t="inlineStr">
        <is>
          <t>6921183097318</t>
        </is>
      </c>
      <c r="G323" s="4" t="inlineStr">
        <is>
          <t xml:space="preserve"> • vlastnosť: Hlavica vysávača DeWalt • utility hubica • 48 mm</t>
        </is>
      </c>
    </row>
    <row r="324">
      <c r="A324" s="3" t="inlineStr">
        <is>
          <t>DXV15T</t>
        </is>
      </c>
      <c r="B324" s="2" t="inlineStr">
        <is>
          <t>DeWalt "Toolbox" vysávač, 15 l, suchý/mokrý</t>
        </is>
      </c>
      <c r="C324" s="1" t="n">
        <v>151.9</v>
      </c>
      <c r="D324" s="7" t="n">
        <f>HYPERLINK("https://www.somogyi.sk/product/dewalt-toolbox-vysavac-15-l-suchy-mokry-dxv15t-18680","https://www.somogyi.sk/product/dewalt-toolbox-vysavac-15-l-suchy-mokry-dxv15t-18680")</f>
        <v>0.0</v>
      </c>
      <c r="E324" s="7" t="n">
        <f>HYPERLINK("https://www.somogyi.sk/data/img/product_main_images/small/18680.jpg","https://www.somogyi.sk/data/img/product_main_images/small/18680.jpg")</f>
        <v>0.0</v>
      </c>
      <c r="F324" s="2" t="inlineStr">
        <is>
          <t>6921183087173</t>
        </is>
      </c>
      <c r="G324" s="4" t="inlineStr">
        <is>
          <t xml:space="preserve"> • farba: žltá, čierna 
 • výkon: 1100 W 
 • N/A: DXVA19-4204 
 • N/A: 15 l 
 • N/A: ∅48 mm x 2,1 m 
 • prietok vzduchu: 42,5 l / sek. 
 • sila nasávania: 12 KPa sací výkon (230 V~) 
 • napájanie: 230 V~ / 50 Hz 
 • hlučnosť: 76 dB(A) 
 • N/A: 4,85 m (s gumovou izoláciou)</t>
        </is>
      </c>
    </row>
    <row r="325">
      <c r="A325" s="3" t="inlineStr">
        <is>
          <t>DXVC4001</t>
        </is>
      </c>
      <c r="B325" s="2" t="inlineStr">
        <is>
          <t>DeWalt filter, klasický</t>
        </is>
      </c>
      <c r="C325" s="1" t="n">
        <v>24.29</v>
      </c>
      <c r="D325" s="7" t="n">
        <f>HYPERLINK("https://www.somogyi.sk/product/dewalt-filter-klasicky-dxvc4001-18260","https://www.somogyi.sk/product/dewalt-filter-klasicky-dxvc4001-18260")</f>
        <v>0.0</v>
      </c>
      <c r="E325" s="7" t="n">
        <f>HYPERLINK("https://www.somogyi.sk/data/img/product_main_images/small/18260.jpg","https://www.somogyi.sk/data/img/product_main_images/small/18260.jpg")</f>
        <v>0.0</v>
      </c>
      <c r="F325" s="2" t="inlineStr">
        <is>
          <t>6921183002961</t>
        </is>
      </c>
      <c r="G325" s="4" t="inlineStr">
        <is>
          <t xml:space="preserve"> • vlastnosť: DeWalt filter, tradičný</t>
        </is>
      </c>
    </row>
    <row r="326">
      <c r="A326" s="3" t="inlineStr">
        <is>
          <t>DXVA19-2600</t>
        </is>
      </c>
      <c r="B326" s="2" t="inlineStr">
        <is>
          <t>DeWalt flexibilná hadica, 48 mm x 2,1m, pre "Toolbox"</t>
        </is>
      </c>
      <c r="C326" s="1" t="n">
        <v>36.09</v>
      </c>
      <c r="D326" s="7" t="n">
        <f>HYPERLINK("https://www.somogyi.sk/product/dewalt-flexibilna-hadica-48-mm-x-2-1m-pre-toolbox-dxva19-2600-18682","https://www.somogyi.sk/product/dewalt-flexibilna-hadica-48-mm-x-2-1m-pre-toolbox-dxva19-2600-18682")</f>
        <v>0.0</v>
      </c>
      <c r="E326" s="7" t="n">
        <f>HYPERLINK("https://www.somogyi.sk/data/img/product_main_images/small/18682.jpg","https://www.somogyi.sk/data/img/product_main_images/small/18682.jpg")</f>
        <v>0.0</v>
      </c>
      <c r="F326" s="2" t="inlineStr">
        <is>
          <t>6921183097202</t>
        </is>
      </c>
      <c r="G326" s="4" t="inlineStr">
        <is>
          <t xml:space="preserve"> • rozmery: 48 mm x 2,1 m 
 • vlastnosť: DeWalt flexibilná hadica k Toolbox</t>
        </is>
      </c>
    </row>
    <row r="327">
      <c r="A327" s="3" t="inlineStr">
        <is>
          <t>DXV25S</t>
        </is>
      </c>
      <c r="B327" s="2" t="inlineStr">
        <is>
          <t>DeWalt 25 l, suchý/mokrý vysávač z nehrdzavejúcej ocele</t>
        </is>
      </c>
      <c r="C327" s="1" t="n">
        <v>142.9</v>
      </c>
      <c r="D327" s="7" t="n">
        <f>HYPERLINK("https://www.somogyi.sk/product/dewalt-25-l-suchy-mokry-vysavac-z-nehrdzavejucej-ocele-dxv25s-18255","https://www.somogyi.sk/product/dewalt-25-l-suchy-mokry-vysavac-z-nehrdzavejucej-ocele-dxv25s-18255")</f>
        <v>0.0</v>
      </c>
      <c r="E327" s="7" t="n">
        <f>HYPERLINK("https://www.somogyi.sk/data/img/product_main_images/small/18255.jpg","https://www.somogyi.sk/data/img/product_main_images/small/18255.jpg")</f>
        <v>0.0</v>
      </c>
      <c r="F327" s="2" t="inlineStr">
        <is>
          <t>6921183001650</t>
        </is>
      </c>
      <c r="G327" s="4" t="inlineStr">
        <is>
          <t xml:space="preserve"> • farba: strieborná / čierna (kryt z nehrdzavejúcej ocele) 
 • výkon: 1050 W 
 • N/A: 25 l 
 • N/A: ∅48 mm x 2,1 m 
 • prietok vzduchu: 37,8 l / sek. 
 • sila nasávania: 15 KPa sací výkon (230 V~) 
 • napájanie: 230 V~ / 50 Hz 
 • N/A: 3 m 
 • ďalšie informácie: typ vrecka na prach: DXVA19-4204</t>
        </is>
      </c>
    </row>
    <row r="328">
      <c r="A328" s="3" t="inlineStr">
        <is>
          <t>DXV30SAPTA</t>
        </is>
      </c>
      <c r="B328" s="2" t="inlineStr">
        <is>
          <t>DeWalt 30 l, suchý/mokrý vysávač z nehrdzavejúcej ocele</t>
        </is>
      </c>
      <c r="C328" s="1" t="n">
        <v>179.9</v>
      </c>
      <c r="D328" s="7" t="n">
        <f>HYPERLINK("https://www.somogyi.sk/product/dewalt-30-l-suchy-mokry-vysavac-z-nehrdzavejucej-ocele-dxv30sapta-18257","https://www.somogyi.sk/product/dewalt-30-l-suchy-mokry-vysavac-z-nehrdzavejucej-ocele-dxv30sapta-18257")</f>
        <v>0.0</v>
      </c>
      <c r="E328" s="7" t="n">
        <f>HYPERLINK("https://www.somogyi.sk/data/img/product_main_images/small/18257.jpg","https://www.somogyi.sk/data/img/product_main_images/small/18257.jpg")</f>
        <v>0.0</v>
      </c>
      <c r="F328" s="2" t="inlineStr">
        <is>
          <t>6921183087678</t>
        </is>
      </c>
      <c r="G328" s="4" t="inlineStr">
        <is>
          <t xml:space="preserve"> • farba: strieborná / čierna (kryt z nehrdzavejúcej ocele) 
 • výkon: 1050 W 
 • N/A: 30 l 
 • N/A: ∅48 mm x 2,1 m 
 • prietok vzduchu: 37,8 l / sek. 
 • sila nasávania: 15 KPa sací výkon (230 V~) 
 • napájanie: 230 V~ / 50 Hz 
 • N/A: 3 m 
 • ďalšie informácie: typ vrecka na prach: DXVA19-4201</t>
        </is>
      </c>
    </row>
    <row r="329">
      <c r="A329" s="3" t="inlineStr">
        <is>
          <t>VCEA11CXWII</t>
        </is>
      </c>
      <c r="B329" s="2" t="inlineStr">
        <is>
          <t>Gorenje vysávač</t>
        </is>
      </c>
      <c r="C329" s="1" t="n">
        <v>71.99</v>
      </c>
      <c r="D329" s="7" t="n">
        <f>HYPERLINK("https://www.somogyi.sk/product/gorenje-vysavac-vcea11cxwii-16739","https://www.somogyi.sk/product/gorenje-vysavac-vcea11cxwii-16739")</f>
        <v>0.0</v>
      </c>
      <c r="E329" s="7" t="n">
        <f>HYPERLINK("https://www.somogyi.sk/data/img/product_main_images/small/16739.jpg","https://www.somogyi.sk/data/img/product_main_images/small/16739.jpg")</f>
        <v>0.0</v>
      </c>
      <c r="F329" s="2" t="inlineStr">
        <is>
          <t>3838782089077</t>
        </is>
      </c>
      <c r="G329" s="4" t="inlineStr">
        <is>
          <t xml:space="preserve"> • výkon: 750 W 
 • objem prachového vrecka: 2 l, papierové vrecko 
 • navijak prívodného kábla: áno 
 • regulácia výkonu: áno 
 • napájanie: 230 V~ 
 • HEPA filter: áno 
 • jemné štartovanie motora: áno 
 • hlučnosť: 78 dB(A) 
 • rozmery: 35 × 21,5 × 26 cm 
 • N/A: 5 m 
 • hmotnosť: 3,3 kg</t>
        </is>
      </c>
    </row>
    <row r="330">
      <c r="A330" s="3" t="inlineStr">
        <is>
          <t>B7 MBC1780WB</t>
        </is>
      </c>
      <c r="B330" s="2" t="inlineStr">
        <is>
          <t>MIDEA vysávač, vreckový, 3 l</t>
        </is>
      </c>
      <c r="C330" s="1" t="n">
        <v>86.89</v>
      </c>
      <c r="D330" s="7" t="n">
        <f>HYPERLINK("https://www.somogyi.sk/product/midea-vysavac-vreckovy-3-l-b7-mbc1780wb-18939","https://www.somogyi.sk/product/midea-vysavac-vreckovy-3-l-b7-mbc1780wb-18939")</f>
        <v>0.0</v>
      </c>
      <c r="E330" s="7" t="n">
        <f>HYPERLINK("https://www.somogyi.sk/data/img/product_main_images/small/18939.jpg","https://www.somogyi.sk/data/img/product_main_images/small/18939.jpg")</f>
        <v>0.0</v>
      </c>
      <c r="F330" s="2" t="inlineStr">
        <is>
          <t>6956079714505</t>
        </is>
      </c>
      <c r="G330" s="4" t="inlineStr">
        <is>
          <t xml:space="preserve"> • funkcie: vreckový vysávač 
 • výkon: 800 W 
 • objem prachového vrecka: 3 l 
 • navijak prívodného kábla: áno 
 • regulácia výkonu: bezstupňový 
 • sila nasávania: 200 W sací výkon 
 • napájanie: 230 V~ / 50 Hz 
 • HEPA filter: umývateľný filter HEPA12 
 • hlučnosť: 68 dB nízka hlučnosť 
 • N/A: 5 m 
 • hmotnosť: netto 6,15 kg 
 • príslušenstvo: všeobecná čistiaca hlavica, štrbinová hlavica, okrúhla kefová hlavica, 3 vrecká na prach 
 • vlastnosť: 8 m dosah</t>
        </is>
      </c>
    </row>
    <row r="331">
      <c r="A331" s="3" t="inlineStr">
        <is>
          <t>DXVA19-1202</t>
        </is>
      </c>
      <c r="B331" s="2" t="inlineStr">
        <is>
          <t>DeWalt predlžovacia trubica vysávača, 48 mm</t>
        </is>
      </c>
      <c r="C331" s="1" t="n">
        <v>10.69</v>
      </c>
      <c r="D331" s="7" t="n">
        <f>HYPERLINK("https://www.somogyi.sk/product/dewalt-predlzovacia-trubica-vysavaca-48-mm-dxva19-1202-18264","https://www.somogyi.sk/product/dewalt-predlzovacia-trubica-vysavaca-48-mm-dxva19-1202-18264")</f>
        <v>0.0</v>
      </c>
      <c r="E331" s="7" t="n">
        <f>HYPERLINK("https://www.somogyi.sk/data/img/product_main_images/small/18264.jpg","https://www.somogyi.sk/data/img/product_main_images/small/18264.jpg")</f>
        <v>0.0</v>
      </c>
      <c r="F331" s="2" t="inlineStr">
        <is>
          <t>6921183097264</t>
        </is>
      </c>
      <c r="G331" s="4" t="inlineStr">
        <is>
          <t xml:space="preserve"> • vlastnosť: Predlžovacia trubica vysávača DeWalt • 48 mm</t>
        </is>
      </c>
    </row>
    <row r="332">
      <c r="A332" s="3" t="inlineStr">
        <is>
          <t>DXVA19-4201</t>
        </is>
      </c>
      <c r="B332" s="2" t="inlineStr">
        <is>
          <t>DeWalt vrecko na prach, 23 l - 38 l, 3 ks</t>
        </is>
      </c>
      <c r="C332" s="1" t="n">
        <v>18.59</v>
      </c>
      <c r="D332" s="7" t="n">
        <f>HYPERLINK("https://www.somogyi.sk/product/dewalt-vrecko-na-prach-23-l-38-l-3-ks-dxva19-4201-18261","https://www.somogyi.sk/product/dewalt-vrecko-na-prach-23-l-38-l-3-ks-dxva19-4201-18261")</f>
        <v>0.0</v>
      </c>
      <c r="E332" s="7" t="n">
        <f>HYPERLINK("https://www.somogyi.sk/data/img/product_main_images/small/18261.jpg","https://www.somogyi.sk/data/img/product_main_images/small/18261.jpg")</f>
        <v>0.0</v>
      </c>
      <c r="F332" s="2" t="inlineStr">
        <is>
          <t>0810018920012</t>
        </is>
      </c>
      <c r="G332" s="4" t="inlineStr">
        <is>
          <t xml:space="preserve"> • vlastnosť: Prachové vrecko DeWalt • 23 l - 38 l</t>
        </is>
      </c>
    </row>
    <row r="333">
      <c r="A333" s="3" t="inlineStr">
        <is>
          <t>DXVA20-1200A</t>
        </is>
      </c>
      <c r="B333" s="2" t="inlineStr">
        <is>
          <t>DeWalt penový filter pre "Toolbox"</t>
        </is>
      </c>
      <c r="C333" s="1" t="n">
        <v>8.69</v>
      </c>
      <c r="D333" s="7" t="n">
        <f>HYPERLINK("https://www.somogyi.sk/product/dewalt-penovy-filter-pre-toolbox-dxva20-1200a-18683","https://www.somogyi.sk/product/dewalt-penovy-filter-pre-toolbox-dxva20-1200a-18683")</f>
        <v>0.0</v>
      </c>
      <c r="E333" s="7" t="n">
        <f>HYPERLINK("https://www.somogyi.sk/data/img/product_main_images/small/18683.jpg","https://www.somogyi.sk/data/img/product_main_images/small/18683.jpg")</f>
        <v>0.0</v>
      </c>
      <c r="F333" s="2" t="inlineStr">
        <is>
          <t>6921183097431</t>
        </is>
      </c>
      <c r="G333" s="4" t="inlineStr">
        <is>
          <t xml:space="preserve"> • vlastnosť: DeWalt hubkový filter k Toolbox</t>
        </is>
      </c>
    </row>
    <row r="334">
      <c r="A334" s="3" t="inlineStr">
        <is>
          <t>VCEA01GACWCY</t>
        </is>
      </c>
      <c r="B334" s="2" t="inlineStr">
        <is>
          <t>Vysávač Gorenje, cyklónový, bezsáčkový</t>
        </is>
      </c>
      <c r="C334" s="1" t="n">
        <v>94.99</v>
      </c>
      <c r="D334" s="7" t="n">
        <f>HYPERLINK("https://www.somogyi.sk/product/vysavac-gorenje-cyklonovy-bezsackovy-vcea01gacwcy-18295","https://www.somogyi.sk/product/vysavac-gorenje-cyklonovy-bezsackovy-vcea01gacwcy-18295")</f>
        <v>0.0</v>
      </c>
      <c r="E334" s="7" t="n">
        <f>HYPERLINK("https://www.somogyi.sk/data/img/product_main_images/small/18295.jpg","https://www.somogyi.sk/data/img/product_main_images/small/18295.jpg")</f>
        <v>0.0</v>
      </c>
      <c r="F334" s="2" t="inlineStr">
        <is>
          <t>3838782071232</t>
        </is>
      </c>
      <c r="G334" s="4" t="inlineStr">
        <is>
          <t xml:space="preserve"> • výkon: 700 W 
 • N/A: 2,2 l 
 • navijak prívodného kábla: áno 
 • napájanie: 230 V~ / 50 Hz 
 • jemné štartovanie motora: áno 
 • hlučnosť: 83 dB(A) 
 • rozmery: 36,6 x 27,1 x 26,6 cm 
 • N/A: 5 m 
 • hmotnosť: 5,7 kg 
 • charakteristiky: dvojitý HEPA filter • veľké gumené kolieska • kovová trubica</t>
        </is>
      </c>
    </row>
    <row r="335">
      <c r="A335" s="3" t="inlineStr">
        <is>
          <t>P5 MCS2021WB</t>
        </is>
      </c>
      <c r="B335" s="2" t="inlineStr">
        <is>
          <t>MIDEA vysávač, akumulátorový tyčový vysávač, 150W DC</t>
        </is>
      </c>
      <c r="C335" s="1" t="n">
        <v>117.9</v>
      </c>
      <c r="D335" s="7" t="n">
        <f>HYPERLINK("https://www.somogyi.sk/product/midea-vysavac-akumulatorovy-tycovy-vysavac-150w-dc-p5-mcs2021wb-18940","https://www.somogyi.sk/product/midea-vysavac-akumulatorovy-tycovy-vysavac-150w-dc-p5-mcs2021wb-18940")</f>
        <v>0.0</v>
      </c>
      <c r="E335" s="7" t="n">
        <f>HYPERLINK("https://www.somogyi.sk/data/img/product_main_images/small/18940.jpg","https://www.somogyi.sk/data/img/product_main_images/small/18940.jpg")</f>
        <v>0.0</v>
      </c>
      <c r="F335" s="2" t="inlineStr">
        <is>
          <t>6956079711702</t>
        </is>
      </c>
      <c r="G335" s="4" t="inlineStr">
        <is>
          <t xml:space="preserve"> • funkcie: 2 in 1: tyčový a ručný vysávač 
 • výkon: 150 W výkon motora 
 • N/A: 0,45 l nádoba na prach 
 • napájanie: akumulátor: Li-ion technológia (21,6V, 2000 mAh) 
 • hmotnosť: 2,5 kg 
 • vlastnosť: 2 stupne rýchlosti 
 • charakteristiky: s cyklónovým filtrom 
 • doba prevádzky / nabíjania: až 45 min / 3-5 h</t>
        </is>
      </c>
    </row>
    <row r="336">
      <c r="A336" s="3" t="inlineStr">
        <is>
          <t>DXVA19-4204</t>
        </is>
      </c>
      <c r="B336" s="2" t="inlineStr">
        <is>
          <t>DeWalt vrecko na prach, 20 l - 30 l, 3 ks</t>
        </is>
      </c>
      <c r="C336" s="1" t="n">
        <v>18.69</v>
      </c>
      <c r="D336" s="7" t="n">
        <f>HYPERLINK("https://www.somogyi.sk/product/dewalt-vrecko-na-prach-20-l-30-l-3-ks-dxva19-4204-18262","https://www.somogyi.sk/product/dewalt-vrecko-na-prach-20-l-30-l-3-ks-dxva19-4204-18262")</f>
        <v>0.0</v>
      </c>
      <c r="E336" s="7" t="n">
        <f>HYPERLINK("https://www.somogyi.sk/data/img/product_main_images/small/18262.jpg","https://www.somogyi.sk/data/img/product_main_images/small/18262.jpg")</f>
        <v>0.0</v>
      </c>
      <c r="F336" s="2" t="inlineStr">
        <is>
          <t>6921183097165</t>
        </is>
      </c>
      <c r="G336" s="4" t="inlineStr">
        <is>
          <t xml:space="preserve"> • vlastnosť: Prachové vrecko DeWalt • 20 l -30 l</t>
        </is>
      </c>
    </row>
    <row r="337">
      <c r="A337" s="3" t="inlineStr">
        <is>
          <t>DXVA19-5158</t>
        </is>
      </c>
      <c r="B337" s="2" t="inlineStr">
        <is>
          <t>DeWalt sieťové vrecko na uloženie príslušenstva</t>
        </is>
      </c>
      <c r="C337" s="1" t="n">
        <v>5.69</v>
      </c>
      <c r="D337" s="7" t="n">
        <f>HYPERLINK("https://www.somogyi.sk/product/dewalt-sietove-vrecko-na-ulozenie-prislusenstva-dxva19-5158-18268","https://www.somogyi.sk/product/dewalt-sietove-vrecko-na-ulozenie-prislusenstva-dxva19-5158-18268")</f>
        <v>0.0</v>
      </c>
      <c r="E337" s="7" t="n">
        <f>HYPERLINK("https://www.somogyi.sk/data/img/product_main_images/small/18268.jpg","https://www.somogyi.sk/data/img/product_main_images/small/18268.jpg")</f>
        <v>0.0</v>
      </c>
      <c r="F337" s="2" t="inlineStr">
        <is>
          <t>6921183097400</t>
        </is>
      </c>
      <c r="G337" s="4" t="inlineStr">
        <is>
          <t xml:space="preserve"> • vlastnosť: Sieťované vrecko na príslušenstvo DeWalt</t>
        </is>
      </c>
    </row>
    <row r="338">
      <c r="A338" s="3" t="inlineStr">
        <is>
          <t>DXVA19-2400</t>
        </is>
      </c>
      <c r="B338" s="2" t="inlineStr">
        <is>
          <t>DeWalt hlavica vysávača, okrúhla kefa, 48 mm</t>
        </is>
      </c>
      <c r="C338" s="1" t="n">
        <v>9.69</v>
      </c>
      <c r="D338" s="7" t="n">
        <f>HYPERLINK("https://www.somogyi.sk/product/dewalt-hlavica-vysavaca-okruhla-kefa-48-mm-dxva19-2400-18265","https://www.somogyi.sk/product/dewalt-hlavica-vysavaca-okruhla-kefa-48-mm-dxva19-2400-18265")</f>
        <v>0.0</v>
      </c>
      <c r="E338" s="7" t="n">
        <f>HYPERLINK("https://www.somogyi.sk/data/img/product_main_images/small/18265.jpg","https://www.somogyi.sk/data/img/product_main_images/small/18265.jpg")</f>
        <v>0.0</v>
      </c>
      <c r="F338" s="2" t="inlineStr">
        <is>
          <t>2221628700204</t>
        </is>
      </c>
      <c r="G338" s="4" t="inlineStr">
        <is>
          <t xml:space="preserve"> • vlastnosť: Hlavica vysávača DeWalt • okrúhla kefa • 48 mm</t>
        </is>
      </c>
    </row>
    <row r="339">
      <c r="A339" s="3" t="inlineStr">
        <is>
          <t>DXV20PTA</t>
        </is>
      </c>
      <c r="B339" s="2" t="inlineStr">
        <is>
          <t>DeWalt 20 l, suchý/mokrý vysávač</t>
        </is>
      </c>
      <c r="C339" s="1" t="n">
        <v>150.9</v>
      </c>
      <c r="D339" s="7" t="n">
        <f>HYPERLINK("https://www.somogyi.sk/product/dewalt-20-l-suchy-mokry-vysavac-dxv20pta-18256","https://www.somogyi.sk/product/dewalt-20-l-suchy-mokry-vysavac-dxv20pta-18256")</f>
        <v>0.0</v>
      </c>
      <c r="E339" s="7" t="n">
        <f>HYPERLINK("https://www.somogyi.sk/data/img/product_main_images/small/18256.jpg","https://www.somogyi.sk/data/img/product_main_images/small/18256.jpg")</f>
        <v>0.0</v>
      </c>
      <c r="F339" s="2" t="inlineStr">
        <is>
          <t>6921183000059</t>
        </is>
      </c>
      <c r="G339" s="4" t="inlineStr">
        <is>
          <t xml:space="preserve"> • farba: žltá / čierna 
 • výkon: 1050 W 
 • N/A: 20 l 
 • N/A: ∅48 mm x 2,1 m 
 • prietok vzduchu: 37,8 l / sek. 
 • sila nasávania: 15 KPa sací výkon (230 V~) 
 • napájanie: 230 V~ / 50 Hz 
 • N/A: 3 m 
 • ďalšie informácie: typ vrecka na prach: DXVA19-4204</t>
        </is>
      </c>
    </row>
    <row r="340">
      <c r="A340" s="6" t="inlineStr">
        <is>
          <t xml:space="preserve">   Domáce spotrebiče / Žehlička</t>
        </is>
      </c>
      <c r="B340" s="6" t="inlineStr">
        <is>
          <t/>
        </is>
      </c>
      <c r="C340" s="6" t="inlineStr">
        <is>
          <t/>
        </is>
      </c>
      <c r="D340" s="6" t="inlineStr">
        <is>
          <t/>
        </is>
      </c>
      <c r="E340" s="6" t="inlineStr">
        <is>
          <t/>
        </is>
      </c>
      <c r="F340" s="6" t="inlineStr">
        <is>
          <t/>
        </is>
      </c>
      <c r="G340" s="6" t="inlineStr">
        <is>
          <t/>
        </is>
      </c>
    </row>
    <row r="341">
      <c r="A341" s="3" t="inlineStr">
        <is>
          <t>SI-1301</t>
        </is>
      </c>
      <c r="B341" s="2" t="inlineStr">
        <is>
          <t>Žehlička</t>
        </is>
      </c>
      <c r="C341" s="1" t="n">
        <v>12.49</v>
      </c>
      <c r="D341" s="7" t="n">
        <f>HYPERLINK("https://www.somogyi.sk/product/zehlicka-si-1301-11974","https://www.somogyi.sk/product/zehlicka-si-1301-11974")</f>
        <v>0.0</v>
      </c>
      <c r="E341" s="7" t="n">
        <f>HYPERLINK("https://www.somogyi.sk/data/img/product_main_images/small/11974.jpg","https://www.somogyi.sk/data/img/product_main_images/small/11974.jpg")</f>
        <v>0.0</v>
      </c>
      <c r="F341" s="2" t="inlineStr">
        <is>
          <t>5998777335935</t>
        </is>
      </c>
      <c r="G341" s="4" t="inlineStr">
        <is>
          <t xml:space="preserve"> • výkon: 1200 W 
 • suchá žehlička: áno 
 • naparovacia žehlička: nie 
 • žehliaca plocha: nepriľnavá 
 • nádrž na vodu: nie 
 • regulátor teploty: áno 
 • príslušenstvo: - 
 • napájanie: 230 V~ / 50 Hz</t>
        </is>
      </c>
    </row>
    <row r="342">
      <c r="A342" s="3" t="inlineStr">
        <is>
          <t>SIH1800TQC</t>
        </is>
      </c>
      <c r="B342" s="2" t="inlineStr">
        <is>
          <t>Parná žehlička, 1800 W</t>
        </is>
      </c>
      <c r="C342" s="1" t="n">
        <v>28.49</v>
      </c>
      <c r="D342" s="7" t="n">
        <f>HYPERLINK("https://www.somogyi.sk/product/parna-zehlicka-1800-w-sih1800tqc-18292","https://www.somogyi.sk/product/parna-zehlicka-1800-w-sih1800tqc-18292")</f>
        <v>0.0</v>
      </c>
      <c r="E342" s="7" t="n">
        <f>HYPERLINK("https://www.somogyi.sk/data/img/product_main_images/small/18292.jpg","https://www.somogyi.sk/data/img/product_main_images/small/18292.jpg")</f>
        <v>0.0</v>
      </c>
      <c r="F342" s="2" t="inlineStr">
        <is>
          <t>3838782404757</t>
        </is>
      </c>
      <c r="G342" s="4" t="inlineStr">
        <is>
          <t xml:space="preserve"> • výkon: 1800 W 
 • naparovacia žehlička: áno 
 • žehliaca plocha: UltraSteel podstavec 
 • nádrž na vodu: 0,2 l 
 • funkcie: funkcia samočistenia 
 • regulátor teploty: áno 
 • napájanie: 230 V~ / 50 Hz</t>
        </is>
      </c>
    </row>
    <row r="343">
      <c r="A343" s="3" t="inlineStr">
        <is>
          <t>SIH2200BLC</t>
        </is>
      </c>
      <c r="B343" s="2" t="inlineStr">
        <is>
          <t>Žehlička, 2200 W</t>
        </is>
      </c>
      <c r="C343" s="1" t="n">
        <v>39.19</v>
      </c>
      <c r="D343" s="7" t="n">
        <f>HYPERLINK("https://www.somogyi.sk/product/zehlicka-2200-w-sih2200blc-18030","https://www.somogyi.sk/product/zehlicka-2200-w-sih2200blc-18030")</f>
        <v>0.0</v>
      </c>
      <c r="E343" s="7" t="n">
        <f>HYPERLINK("https://www.somogyi.sk/data/img/product_main_images/small/18030.jpg","https://www.somogyi.sk/data/img/product_main_images/small/18030.jpg")</f>
        <v>0.0</v>
      </c>
      <c r="F343" s="2" t="inlineStr">
        <is>
          <t>3838782404696</t>
        </is>
      </c>
      <c r="G343" s="4" t="inlineStr">
        <is>
          <t xml:space="preserve"> • výkon: 2200 W 
 • suchá žehlička: áno 
 • naparovacia žehlička: áno 
 • žehliaca plocha: keramika 
 • nádrž na vodu: 0,35 l 
 • regulátor teploty: analógová regulácia teploty 
 • napájanie: 230 V~ / 50 Hz 
 • ďalšie informácie: hmotnosť: 1,3 kg</t>
        </is>
      </c>
    </row>
    <row r="344">
      <c r="A344" s="3" t="inlineStr">
        <is>
          <t>HG V 22</t>
        </is>
      </c>
      <c r="B344" s="2" t="inlineStr">
        <is>
          <t>Žehlička s keramickou žehliacou plochou, 2200 W, 160 ml nádoba na vodu</t>
        </is>
      </c>
      <c r="C344" s="1" t="n">
        <v>18.89</v>
      </c>
      <c r="D344" s="7" t="n">
        <f>HYPERLINK("https://www.somogyi.sk/product/zehlicka-s-keramickou-zehliacou-plochou-2200-w-160-ml-nadoba-na-vodu-hg-v-22-17279","https://www.somogyi.sk/product/zehlicka-s-keramickou-zehliacou-plochou-2200-w-160-ml-nadoba-na-vodu-hg-v-22-17279")</f>
        <v>0.0</v>
      </c>
      <c r="E344" s="7" t="n">
        <f>HYPERLINK("https://www.somogyi.sk/data/img/product_main_images/small/17279.jpg","https://www.somogyi.sk/data/img/product_main_images/small/17279.jpg")</f>
        <v>0.0</v>
      </c>
      <c r="F344" s="2" t="inlineStr">
        <is>
          <t>5999084953010</t>
        </is>
      </c>
      <c r="G344" s="4" t="inlineStr">
        <is>
          <t xml:space="preserve"> • výkon: 2200 W 
 • naparovacia žehlička: áno 
 • žehliaca plocha: keramika 
 • nádrž na vodu: 160 ml 
 • regulátor teploty: áno 
 • napájanie: 230 V~ / 50 Hz 
 • ďalšie informácie: funkcia samočistenia</t>
        </is>
      </c>
    </row>
    <row r="345">
      <c r="A345" s="6" t="inlineStr">
        <is>
          <t xml:space="preserve">   Domáce spotrebiče / Pekáreň chleba</t>
        </is>
      </c>
      <c r="B345" s="6" t="inlineStr">
        <is>
          <t/>
        </is>
      </c>
      <c r="C345" s="6" t="inlineStr">
        <is>
          <t/>
        </is>
      </c>
      <c r="D345" s="6" t="inlineStr">
        <is>
          <t/>
        </is>
      </c>
      <c r="E345" s="6" t="inlineStr">
        <is>
          <t/>
        </is>
      </c>
      <c r="F345" s="6" t="inlineStr">
        <is>
          <t/>
        </is>
      </c>
      <c r="G345" s="6" t="inlineStr">
        <is>
          <t/>
        </is>
      </c>
    </row>
    <row r="346">
      <c r="A346" s="3" t="inlineStr">
        <is>
          <t>MC2SBK</t>
        </is>
      </c>
      <c r="B346" s="2" t="inlineStr">
        <is>
          <t>Gorenje Multicooker</t>
        </is>
      </c>
      <c r="C346" s="1" t="n">
        <v>62.79</v>
      </c>
      <c r="D346" s="7" t="n">
        <f>HYPERLINK("https://www.somogyi.sk/product/gorenje-multicooker-mc2sbk-19044","https://www.somogyi.sk/product/gorenje-multicooker-mc2sbk-19044")</f>
        <v>0.0</v>
      </c>
      <c r="E346" s="7" t="n">
        <f>HYPERLINK("https://www.somogyi.sk/data/img/product_main_images/small/19044.jpg","https://www.somogyi.sk/data/img/product_main_images/small/19044.jpg")</f>
        <v>0.0</v>
      </c>
      <c r="F346" s="2" t="inlineStr">
        <is>
          <t>3838782866852</t>
        </is>
      </c>
      <c r="G346" s="4" t="inlineStr">
        <is>
          <t xml:space="preserve"> • výkon: max.476 W 
 • časovač: 24 h 
 • programy: 5 druhov 
 • rozmery: 23 x 22,3 x 23,9 cm</t>
        </is>
      </c>
    </row>
    <row r="347">
      <c r="A347" s="3" t="inlineStr">
        <is>
          <t>HG KS 900</t>
        </is>
      </c>
      <c r="B347" s="2" t="inlineStr">
        <is>
          <t>Pekáreň chleba, 710 W</t>
        </is>
      </c>
      <c r="C347" s="1" t="n">
        <v>97.59</v>
      </c>
      <c r="D347" s="7" t="n">
        <f>HYPERLINK("https://www.somogyi.sk/product/pekaren-chleba-710-w-hg-ks-900-17949","https://www.somogyi.sk/product/pekaren-chleba-710-w-hg-ks-900-17949")</f>
        <v>0.0</v>
      </c>
      <c r="E347" s="7" t="n">
        <f>HYPERLINK("https://www.somogyi.sk/data/img/product_main_images/small/17949.jpg","https://www.somogyi.sk/data/img/product_main_images/small/17949.jpg")</f>
        <v>0.0</v>
      </c>
      <c r="F347" s="2" t="inlineStr">
        <is>
          <t>5999084959715</t>
        </is>
      </c>
      <c r="G347" s="4" t="inlineStr">
        <is>
          <t xml:space="preserve"> • výkon: 710 W 
 • funkcie: 60 minútová funkcia udržania tepla 
 • programy: 15 programov, napr. rýchle pečenie, bezgluténový, celozrnný program alebo príprava jogurtu 
 • ďalšie informácie: 15 minútová pamäť v prípade výpadku prúdu 
 • rozmery: 280 x 290 x 325 mm</t>
        </is>
      </c>
    </row>
    <row r="348">
      <c r="A348" s="3" t="inlineStr">
        <is>
          <t>BM910WII</t>
        </is>
      </c>
      <c r="B348" s="2" t="inlineStr">
        <is>
          <t>Gorenje pekáreň chleba</t>
        </is>
      </c>
      <c r="C348" s="1" t="n">
        <v>87.19</v>
      </c>
      <c r="D348" s="7" t="n">
        <f>HYPERLINK("https://www.somogyi.sk/product/gorenje-pekaren-chleba-bm910wii-16738","https://www.somogyi.sk/product/gorenje-pekaren-chleba-bm910wii-16738")</f>
        <v>0.0</v>
      </c>
      <c r="E348" s="7" t="n">
        <f>HYPERLINK("https://www.somogyi.sk/data/img/product_main_images/small/16738.jpg","https://www.somogyi.sk/data/img/product_main_images/small/16738.jpg")</f>
        <v>0.0</v>
      </c>
      <c r="F348" s="2" t="inlineStr">
        <is>
          <t>3838782069758</t>
        </is>
      </c>
      <c r="G348" s="4" t="inlineStr">
        <is>
          <t xml:space="preserve"> • výkon: 550 W 
 • veľkosť chleba: 750 - 900 g 
 • časovač: max. 13 h oneskorené spustenie 
 • funkcie: 1 hnetací nástavec 
 • 3 stupne pečenia 
 • možnosť oneskorenia 
 • funkcia udržiavania tepla 
 • automatické vypnutie 
 • programy: 15 programov 
 • ďalšie informácie: LCD displej s modrým podsvietením 
 • rozmery: 21,8 x 29,7 x 29,2 cm</t>
        </is>
      </c>
    </row>
    <row r="349">
      <c r="A349" s="6" t="inlineStr">
        <is>
          <t xml:space="preserve">   Domáce spotrebiče / Kuchynský krájač</t>
        </is>
      </c>
      <c r="B349" s="6" t="inlineStr">
        <is>
          <t/>
        </is>
      </c>
      <c r="C349" s="6" t="inlineStr">
        <is>
          <t/>
        </is>
      </c>
      <c r="D349" s="6" t="inlineStr">
        <is>
          <t/>
        </is>
      </c>
      <c r="E349" s="6" t="inlineStr">
        <is>
          <t/>
        </is>
      </c>
      <c r="F349" s="6" t="inlineStr">
        <is>
          <t/>
        </is>
      </c>
      <c r="G349" s="6" t="inlineStr">
        <is>
          <t/>
        </is>
      </c>
    </row>
    <row r="350">
      <c r="A350" s="3" t="inlineStr">
        <is>
          <t>HG SZE 01</t>
        </is>
      </c>
      <c r="B350" s="2" t="inlineStr">
        <is>
          <t>Elektrický krájač</t>
        </is>
      </c>
      <c r="C350" s="1" t="n">
        <v>45.29</v>
      </c>
      <c r="D350" s="7" t="n">
        <f>HYPERLINK("https://www.somogyi.sk/product/elektricky-krajac-hg-sze-01-17062","https://www.somogyi.sk/product/elektricky-krajac-hg-sze-01-17062")</f>
        <v>0.0</v>
      </c>
      <c r="E350" s="7" t="n">
        <f>HYPERLINK("https://www.somogyi.sk/data/img/product_main_images/small/17062.jpg","https://www.somogyi.sk/data/img/product_main_images/small/17062.jpg")</f>
        <v>0.0</v>
      </c>
      <c r="F350" s="2" t="inlineStr">
        <is>
          <t>5999084950941</t>
        </is>
      </c>
      <c r="G350" s="4" t="inlineStr">
        <is>
          <t xml:space="preserve"> • výkon: 150 W 
 •  
 • materiál: kovová / plastová 
 • hlučnosť: N85 dB(A) 
 • hmotnosť: 1,8 kg</t>
        </is>
      </c>
    </row>
    <row r="351">
      <c r="A351" s="3" t="inlineStr">
        <is>
          <t>R506E</t>
        </is>
      </c>
      <c r="B351" s="2" t="inlineStr">
        <is>
          <t>Gorenje kuchynský krájač</t>
        </is>
      </c>
      <c r="C351" s="1" t="n">
        <v>89.29</v>
      </c>
      <c r="D351" s="7" t="n">
        <f>HYPERLINK("https://www.somogyi.sk/product/gorenje-kuchynsky-krajac-r506e-15208","https://www.somogyi.sk/product/gorenje-kuchynsky-krajac-r506e-15208")</f>
        <v>0.0</v>
      </c>
      <c r="E351" s="7" t="n">
        <f>HYPERLINK("https://www.somogyi.sk/data/img/product_main_images/small/15208.jpg","https://www.somogyi.sk/data/img/product_main_images/small/15208.jpg")</f>
        <v>0.0</v>
      </c>
      <c r="F351" s="2" t="inlineStr">
        <is>
          <t>3838942786853</t>
        </is>
      </c>
      <c r="G351" s="4" t="inlineStr">
        <is>
          <t xml:space="preserve"> • výkon: 150 W 
 • nôž: Ø 19 cm 
 • hrúbka krájania: do 15 mm 
 • materiál: nerezová oceľ 
 • hlučnosť: 82 dB 
 • rozmery: 38,2 x 27,2 x 26,2 cm 
 • hmotnosť: 5,2 kg</t>
        </is>
      </c>
    </row>
    <row r="352">
      <c r="A352" s="6" t="inlineStr">
        <is>
          <t xml:space="preserve">   Domáce spotrebiče / Zavárací automat</t>
        </is>
      </c>
      <c r="B352" s="6" t="inlineStr">
        <is>
          <t/>
        </is>
      </c>
      <c r="C352" s="6" t="inlineStr">
        <is>
          <t/>
        </is>
      </c>
      <c r="D352" s="6" t="inlineStr">
        <is>
          <t/>
        </is>
      </c>
      <c r="E352" s="6" t="inlineStr">
        <is>
          <t/>
        </is>
      </c>
      <c r="F352" s="6" t="inlineStr">
        <is>
          <t/>
        </is>
      </c>
      <c r="G352" s="6" t="inlineStr">
        <is>
          <t/>
        </is>
      </c>
    </row>
    <row r="353">
      <c r="A353" s="3" t="inlineStr">
        <is>
          <t>HG BA 27</t>
        </is>
      </c>
      <c r="B353" s="2" t="inlineStr">
        <is>
          <t>Zavárací hrniec, 1800 W, 27 L</t>
        </is>
      </c>
      <c r="C353" s="1" t="n">
        <v>117.9</v>
      </c>
      <c r="D353" s="7" t="n">
        <f>HYPERLINK("https://www.somogyi.sk/product/zavaraci-hrniec-1800-w-27-l-hg-ba-27-16492","https://www.somogyi.sk/product/zavaraci-hrniec-1800-w-27-l-hg-ba-27-16492")</f>
        <v>0.0</v>
      </c>
      <c r="E353" s="7" t="n">
        <f>HYPERLINK("https://www.somogyi.sk/data/img/product_main_images/small/16492.jpg","https://www.somogyi.sk/data/img/product_main_images/small/16492.jpg")</f>
        <v>0.0</v>
      </c>
      <c r="F353" s="2" t="inlineStr">
        <is>
          <t>5999084945244</t>
        </is>
      </c>
      <c r="G353" s="4" t="inlineStr">
        <is>
          <t xml:space="preserve"> • objem: 27 l 
 • termostat: áno 
 • časovač: časovač vypnutia, max. 120 min. 
 • funkcia: vhodný na sterilizáciu max. 14 ks 1 litrových zaváracích pohárov alebo na ohrievanie, varenie, udržanie teploty max. 27 l tekutiny (napr. čaj, varené víno) 
 • ďalšie informácie: bezkvapkový výpustný kohútik 
 • za- / vypnuteľný 
 • izolované rukoväte 
 • rozmery: 46 x 48 x 43 cm</t>
        </is>
      </c>
    </row>
    <row r="354">
      <c r="A354" s="6" t="inlineStr">
        <is>
          <t xml:space="preserve">   Domáce spotrebiče / Elektrická varná nádoba</t>
        </is>
      </c>
      <c r="B354" s="6" t="inlineStr">
        <is>
          <t/>
        </is>
      </c>
      <c r="C354" s="6" t="inlineStr">
        <is>
          <t/>
        </is>
      </c>
      <c r="D354" s="6" t="inlineStr">
        <is>
          <t/>
        </is>
      </c>
      <c r="E354" s="6" t="inlineStr">
        <is>
          <t/>
        </is>
      </c>
      <c r="F354" s="6" t="inlineStr">
        <is>
          <t/>
        </is>
      </c>
      <c r="G354" s="6" t="inlineStr">
        <is>
          <t/>
        </is>
      </c>
    </row>
    <row r="355">
      <c r="A355" s="3" t="inlineStr">
        <is>
          <t>HGAF8</t>
        </is>
      </c>
      <c r="B355" s="2" t="inlineStr">
        <is>
          <t>Tepluvzdušná fritéza, 8 l, 2000 W, digitálna</t>
        </is>
      </c>
      <c r="C355" s="1" t="n">
        <v>87.79</v>
      </c>
      <c r="D355" s="7" t="n">
        <f>HYPERLINK("https://www.somogyi.sk/product/tepluvzdusna-friteza-8-l-2000-w-digitalna-hgaf8-18905","https://www.somogyi.sk/product/tepluvzdusna-friteza-8-l-2000-w-digitalna-hgaf8-18905")</f>
        <v>0.0</v>
      </c>
      <c r="E355" s="7" t="n">
        <f>HYPERLINK("https://www.somogyi.sk/data/img/product_main_images/small/18905.jpg","https://www.somogyi.sk/data/img/product_main_images/small/18905.jpg")</f>
        <v>0.0</v>
      </c>
      <c r="F355" s="2" t="inlineStr">
        <is>
          <t>5999084969004</t>
        </is>
      </c>
      <c r="G355" s="4" t="inlineStr">
        <is>
          <t xml:space="preserve"> • výkon: 2000 W (1500 W horné / 500 W dolné ohrievanie) 
 • kapacita: 8 l 
 • počet programov: 8 prednastavených programov varenia: hranolky, kuracie stehná, steak, ryba, koláč, pizza, zelenina, vlastné 
 • prevádzková teplota: 80 – 200 °C (rozmrazenie: 60 °C) 
 • napájanie: 220-240 V~ / 50-60 Hz 
 • hmotnosť: 6,6 kg 
 • rozmery: 32,5 x 32 x 41 cm 
 •  
 • ďalšie informácie: rukoväť zásuvky je možné odstrániť pre jednoduchšie skladovanie</t>
        </is>
      </c>
    </row>
    <row r="356">
      <c r="A356" s="3" t="inlineStr">
        <is>
          <t>HG AF 24</t>
        </is>
      </c>
      <c r="B356" s="2" t="inlineStr">
        <is>
          <t>Teplovzdušná fritéza, 2x3.8L, 2460 W</t>
        </is>
      </c>
      <c r="C356" s="1" t="n">
        <v>122.9</v>
      </c>
      <c r="D356" s="7" t="n">
        <f>HYPERLINK("https://www.somogyi.sk/product/teplovzdusna-friteza-2x3-8l-2460-w-hg-af-24-18053","https://www.somogyi.sk/product/teplovzdusna-friteza-2x3-8l-2460-w-hg-af-24-18053")</f>
        <v>0.0</v>
      </c>
      <c r="E356" s="7" t="n">
        <f>HYPERLINK("https://www.somogyi.sk/data/img/product_main_images/small/18053.jpg","https://www.somogyi.sk/data/img/product_main_images/small/18053.jpg")</f>
        <v>0.0</v>
      </c>
      <c r="F356" s="2" t="inlineStr">
        <is>
          <t>5999084960759</t>
        </is>
      </c>
      <c r="G356" s="4" t="inlineStr">
        <is>
          <t xml:space="preserve"> • výkon: 2460 W 
 • objem: max. 7,6 l (2 x 3,8 l) 
 • typy prevádzok: 6 druhov: teplovzdušné pečenie, opekanie, vyprážanie, sušenie, rozmrazovanie, ohrievanie 
 • prevádzková teplota: 40 - 240°C 
 • časovač: 1-240 min. (režim SUŠENIA: 1-12 H) 
 • napájanie: 230 V~ / 50 Hz 
 • rozmery: 39 x 31 x 35 cm 
 • vlastnosť: digitálne ovládanie • jednoduchá manipulácia</t>
        </is>
      </c>
    </row>
    <row r="357">
      <c r="A357" s="3" t="inlineStr">
        <is>
          <t>HG LS 1000</t>
        </is>
      </c>
      <c r="B357" s="2" t="inlineStr">
        <is>
          <t>Pokrievka na pečenie s teplovzdušnou funkciou</t>
        </is>
      </c>
      <c r="C357" s="1" t="n">
        <v>37.69</v>
      </c>
      <c r="D357" s="7" t="n">
        <f>HYPERLINK("https://www.somogyi.sk/product/pokrievka-na-pecenie-s-teplovzdusnou-funkciou-hg-ls-1000-17065","https://www.somogyi.sk/product/pokrievka-na-pecenie-s-teplovzdusnou-funkciou-hg-ls-1000-17065")</f>
        <v>0.0</v>
      </c>
      <c r="E357" s="7" t="n">
        <f>HYPERLINK("https://www.somogyi.sk/data/img/product_main_images/small/17065.jpg","https://www.somogyi.sk/data/img/product_main_images/small/17065.jpg")</f>
        <v>0.0</v>
      </c>
      <c r="F357" s="2" t="inlineStr">
        <is>
          <t>5999084950972</t>
        </is>
      </c>
      <c r="G357" s="4" t="inlineStr">
        <is>
          <t xml:space="preserve"> • výkon: 1000 W 
 •  
 • prevádzková teplota: 45°C - 220°C 
 • kompatibilita: sklenená pokrievka má vhodnú veľkosť pre 6 alebo dokonca 8 litrové elektrické vysokotlakové nádoby 
 • časovač: nastaviteľné trvanie: od 1 minúty (najdlhší nastaviteľný čas varenia 60 minút) 
 • dĺžka napájacieho kábla: 1 m 
 • napájanie: 230 V~ / 50 Hz 
 • hmotnosť: 1,6 kg</t>
        </is>
      </c>
    </row>
    <row r="358">
      <c r="A358" s="3" t="inlineStr">
        <is>
          <t>MF-TN35D</t>
        </is>
      </c>
      <c r="B358" s="2" t="inlineStr">
        <is>
          <t>MIDEA Air Fryer, 3,5L, 1500W</t>
        </is>
      </c>
      <c r="C358" s="1" t="n">
        <v>69.29</v>
      </c>
      <c r="D358" s="7" t="n">
        <f>HYPERLINK("https://www.somogyi.sk/product/midea-air-fryer-3-5l-1500w-mf-tn35d-17985","https://www.somogyi.sk/product/midea-air-fryer-3-5l-1500w-mf-tn35d-17985")</f>
        <v>0.0</v>
      </c>
      <c r="E358" s="7" t="n">
        <f>HYPERLINK("https://www.somogyi.sk/data/img/product_main_images/small/17985.jpg","https://www.somogyi.sk/data/img/product_main_images/small/17985.jpg")</f>
        <v>0.0</v>
      </c>
      <c r="F358" s="2" t="inlineStr">
        <is>
          <t>6939962794709</t>
        </is>
      </c>
      <c r="G358" s="4" t="inlineStr">
        <is>
          <t xml:space="preserve"> • výkon: 1500 W 
 • objem: 3,5 l kôš na pečenie 
 • prevádzková teplota: nastaviteľná teplota do 200 °C 
 • napájanie: 220-240 V~ / 50 Hz 
 • rozmery: 380 x 275 x 316 mm</t>
        </is>
      </c>
    </row>
    <row r="359">
      <c r="A359" s="3" t="inlineStr">
        <is>
          <t>MAD55005APKH</t>
        </is>
      </c>
      <c r="B359" s="2" t="inlineStr">
        <is>
          <t>MIDEA Air Fryer, 4,6 l, 1500 W, digitálny</t>
        </is>
      </c>
      <c r="C359" s="1" t="n">
        <v>87.19</v>
      </c>
      <c r="D359" s="7" t="n">
        <f>HYPERLINK("https://www.somogyi.sk/product/midea-air-fryer-4-6-l-1500-w-digitalny-mad55005apkh-18320","https://www.somogyi.sk/product/midea-air-fryer-4-6-l-1500-w-digitalny-mad55005apkh-18320")</f>
        <v>0.0</v>
      </c>
      <c r="E359" s="7" t="n">
        <f>HYPERLINK("https://www.somogyi.sk/data/img/product_main_images/small/18320.jpg","https://www.somogyi.sk/data/img/product_main_images/small/18320.jpg")</f>
        <v>0.0</v>
      </c>
      <c r="F359" s="2" t="inlineStr">
        <is>
          <t>6936718304120</t>
        </is>
      </c>
      <c r="G359" s="4" t="inlineStr">
        <is>
          <t xml:space="preserve"> • výkon: 1500 W 
 • objem: 4,6 litrový kôš a 5,7 litrová nádoba 
 • prevádzková teplota: max. nastaviteľná teplota 200 °C 
 • časovač: 60  minútorý časovač 
 • napájanie: 230 V~ / 50 Hz</t>
        </is>
      </c>
    </row>
    <row r="360">
      <c r="A360" s="6" t="inlineStr">
        <is>
          <t xml:space="preserve">   Domáce spotrebiče / Napeňovač mlieka</t>
        </is>
      </c>
      <c r="B360" s="6" t="inlineStr">
        <is>
          <t/>
        </is>
      </c>
      <c r="C360" s="6" t="inlineStr">
        <is>
          <t/>
        </is>
      </c>
      <c r="D360" s="6" t="inlineStr">
        <is>
          <t/>
        </is>
      </c>
      <c r="E360" s="6" t="inlineStr">
        <is>
          <t/>
        </is>
      </c>
      <c r="F360" s="6" t="inlineStr">
        <is>
          <t/>
        </is>
      </c>
      <c r="G360" s="6" t="inlineStr">
        <is>
          <t/>
        </is>
      </c>
    </row>
    <row r="361">
      <c r="A361" s="3" t="inlineStr">
        <is>
          <t>HG TH 150</t>
        </is>
      </c>
      <c r="B361" s="2" t="inlineStr">
        <is>
          <t>Peňovač mlieka</t>
        </is>
      </c>
      <c r="C361" s="1" t="n">
        <v>36.99</v>
      </c>
      <c r="D361" s="7" t="n">
        <f>HYPERLINK("https://www.somogyi.sk/product/penovac-mlieka-hg-th-150-17560","https://www.somogyi.sk/product/penovac-mlieka-hg-th-150-17560")</f>
        <v>0.0</v>
      </c>
      <c r="E361" s="7" t="n">
        <f>HYPERLINK("https://www.somogyi.sk/data/img/product_main_images/small/17560.jpg","https://www.somogyi.sk/data/img/product_main_images/small/17560.jpg")</f>
        <v>0.0</v>
      </c>
      <c r="F361" s="2" t="inlineStr">
        <is>
          <t>5999084955823</t>
        </is>
      </c>
      <c r="G361" s="4" t="inlineStr">
        <is>
          <t xml:space="preserve"> • 450-550 W výkon 
 • ovládanie termostatom, príprava teplého mlieka/peny 
 • ohrievavanie mlieka 300 ml, príprava mliečnej peny zo 150 ml mlieka 
 • nehrdzavejúce / plastové prevedenie s dvojitým krytom 
 • nepriľnavá vnútorná plocha 
 • jednoduché čistenie 
 • ohrievanie na 65°C 
 • rozmery: 10 x 20 x 15,5 cm</t>
        </is>
      </c>
    </row>
    <row r="362">
      <c r="A362" s="3" t="inlineStr">
        <is>
          <t>GD 160</t>
        </is>
      </c>
      <c r="B362" s="2" t="inlineStr">
        <is>
          <t>Pedrini napeňovač mlieka, mixér</t>
        </is>
      </c>
      <c r="C362" s="1" t="n">
        <v>14.39</v>
      </c>
      <c r="D362" s="7" t="n">
        <f>HYPERLINK("https://www.somogyi.sk/product/pedrini-napenovac-mlieka-mixer-gd-160-18020","https://www.somogyi.sk/product/pedrini-napenovac-mlieka-mixer-gd-160-18020")</f>
        <v>0.0</v>
      </c>
      <c r="E362" s="7" t="n">
        <f>HYPERLINK("https://www.somogyi.sk/data/img/product_main_images/small/18020.jpg","https://www.somogyi.sk/data/img/product_main_images/small/18020.jpg")</f>
        <v>0.0</v>
      </c>
      <c r="F362" s="2" t="inlineStr">
        <is>
          <t>883336416819</t>
        </is>
      </c>
      <c r="G362" s="4" t="inlineStr">
        <is>
          <t xml:space="preserve"> • materiál: kovový 
 • napájanie: 2 x AA (1,5 V) batéria (nie je príslušenstvom) 
 • ďalšie informácie: 3,5 x 21 x 2,5 cm</t>
        </is>
      </c>
    </row>
    <row r="363">
      <c r="A363" s="6" t="inlineStr">
        <is>
          <t xml:space="preserve">   Domáce spotrebiče / Panvica, wok</t>
        </is>
      </c>
      <c r="B363" s="6" t="inlineStr">
        <is>
          <t/>
        </is>
      </c>
      <c r="C363" s="6" t="inlineStr">
        <is>
          <t/>
        </is>
      </c>
      <c r="D363" s="6" t="inlineStr">
        <is>
          <t/>
        </is>
      </c>
      <c r="E363" s="6" t="inlineStr">
        <is>
          <t/>
        </is>
      </c>
      <c r="F363" s="6" t="inlineStr">
        <is>
          <t/>
        </is>
      </c>
      <c r="G363" s="6" t="inlineStr">
        <is>
          <t/>
        </is>
      </c>
    </row>
    <row r="364">
      <c r="A364" s="3" t="inlineStr">
        <is>
          <t>10-144-110</t>
        </is>
      </c>
      <c r="B364" s="2" t="inlineStr">
        <is>
          <t>Nava Wok panvica 28 cm</t>
        </is>
      </c>
      <c r="C364" s="1" t="n">
        <v>31.89</v>
      </c>
      <c r="D364" s="7" t="n">
        <f>HYPERLINK("https://www.somogyi.sk/product/nava-wok-panvica-28-cm-10-144-110-17678","https://www.somogyi.sk/product/nava-wok-panvica-28-cm-10-144-110-17678")</f>
        <v>0.0</v>
      </c>
      <c r="E364" s="7" t="n">
        <f>HYPERLINK("https://www.somogyi.sk/data/img/product_main_images/small/17678.jpg","https://www.somogyi.sk/data/img/product_main_images/small/17678.jpg")</f>
        <v>0.0</v>
      </c>
      <c r="F364" s="2" t="inlineStr">
        <is>
          <t>5205746087406</t>
        </is>
      </c>
      <c r="G364" s="4" t="inlineStr">
        <is>
          <t xml:space="preserve"> • ochranná vrstva proti pripáleniu: nepriľnavá kameninová vrstva 
 • N/A: vhodný aj na indukčnú varnú dosku 
 • rozmery: ∅28 cm 
 • N/A: umývateľný aj v umývačke riadu 
 • ďalšie informácie: závesný</t>
        </is>
      </c>
    </row>
    <row r="365">
      <c r="A365" s="3" t="inlineStr">
        <is>
          <t>0APE039</t>
        </is>
      </c>
      <c r="B365" s="2" t="inlineStr">
        <is>
          <t>Tlakový hrniec</t>
        </is>
      </c>
      <c r="C365" s="1" t="n">
        <v>84.29</v>
      </c>
      <c r="D365" s="7" t="n">
        <f>HYPERLINK("https://www.somogyi.sk/product/tlakovy-hrniec-0ape039-18194","https://www.somogyi.sk/product/tlakovy-hrniec-0ape039-18194")</f>
        <v>0.0</v>
      </c>
      <c r="E365" s="7" t="n">
        <f>HYPERLINK("https://www.somogyi.sk/data/img/product_main_images/small/18194.jpg","https://www.somogyi.sk/data/img/product_main_images/small/18194.jpg")</f>
        <v>0.0</v>
      </c>
      <c r="F365" s="2" t="inlineStr">
        <is>
          <t>0883336420816</t>
        </is>
      </c>
      <c r="G365" s="4" t="inlineStr">
        <is>
          <t xml:space="preserve"> • objem: 5 l 
 • rozmery: priemer: 22 cm 
 • materiál: nehrdzavejúca oceľ</t>
        </is>
      </c>
    </row>
    <row r="366">
      <c r="A366" s="3" t="inlineStr">
        <is>
          <t>10-255-002</t>
        </is>
      </c>
      <c r="B366" s="2" t="inlineStr">
        <is>
          <t>Panvica "Ωmega" z liateho hliníka s nepriľnavou kamienkovou vrstvou 24 cm</t>
        </is>
      </c>
      <c r="C366" s="1" t="n">
        <v>26.19</v>
      </c>
      <c r="D366" s="7" t="n">
        <f>HYPERLINK("https://www.somogyi.sk/product/panvica-mega-z-liateho-hlinika-s-neprilnavou-kamienkovou-vrstvou-24-cm-10-255-002-18623","https://www.somogyi.sk/product/panvica-mega-z-liateho-hlinika-s-neprilnavou-kamienkovou-vrstvou-24-cm-10-255-002-18623")</f>
        <v>0.0</v>
      </c>
      <c r="E366" s="7" t="n">
        <f>HYPERLINK("https://www.somogyi.sk/data/img/product_main_images/small/18623.jpg","https://www.somogyi.sk/data/img/product_main_images/small/18623.jpg")</f>
        <v>0.0</v>
      </c>
      <c r="F366" s="2" t="inlineStr">
        <is>
          <t>5205746159752</t>
        </is>
      </c>
      <c r="G366" s="4" t="inlineStr">
        <is>
          <t xml:space="preserve"> • ochranná vrstva proti pripáleniu: 5-vrstvový nepriľnavý povlak s kamenným efektom 
 • N/A: plynový, elektrický, keramický, halogénový, indukčný 
 • objem: 2 l 
 • rozmery: ∅24 cm, hrúbka: 5 mm (rozmery: 46 x 25,5 x 5,3 cm) 
 • hmotnosť: 0,83 kg 
 • materiál: liaty hliník 
 • N/A: možno umývať v umývačke riadu</t>
        </is>
      </c>
    </row>
    <row r="367">
      <c r="A367" s="3" t="inlineStr">
        <is>
          <t>10-144-112</t>
        </is>
      </c>
      <c r="B367" s="2" t="inlineStr">
        <is>
          <t>Nava panvica na palacinky 24 cm</t>
        </is>
      </c>
      <c r="C367" s="1" t="n">
        <v>21.99</v>
      </c>
      <c r="D367" s="7" t="n">
        <f>HYPERLINK("https://www.somogyi.sk/product/nava-panvica-na-palacinky-24-cm-10-144-112-17679","https://www.somogyi.sk/product/nava-panvica-na-palacinky-24-cm-10-144-112-17679")</f>
        <v>0.0</v>
      </c>
      <c r="E367" s="7" t="n">
        <f>HYPERLINK("https://www.somogyi.sk/data/img/product_main_images/small/17679.jpg","https://www.somogyi.sk/data/img/product_main_images/small/17679.jpg")</f>
        <v>0.0</v>
      </c>
      <c r="F367" s="2" t="inlineStr">
        <is>
          <t>5205746087468</t>
        </is>
      </c>
      <c r="G367" s="4" t="inlineStr">
        <is>
          <t xml:space="preserve"> • ochranná vrstva proti pripáleniu: nepriľnavá kameninová vrstva 
 • N/A: vhodný aj na indukčnú varnú dosku 
 • rozmery: ∅24 cm 
 • N/A: umývateľný aj v umývačke riadu 
 • ďalšie informácie: závesný</t>
        </is>
      </c>
    </row>
    <row r="368">
      <c r="A368" s="3" t="inlineStr">
        <is>
          <t>10-255-004</t>
        </is>
      </c>
      <c r="B368" s="2" t="inlineStr">
        <is>
          <t>Panvica "Ωmega" z liateho hliníka s nepriľnavou kamienkovou vrstvou 28 cm</t>
        </is>
      </c>
      <c r="C368" s="1" t="n">
        <v>31.19</v>
      </c>
      <c r="D368" s="7" t="n">
        <f>HYPERLINK("https://www.somogyi.sk/product/panvica-mega-z-liateho-hlinika-s-neprilnavou-kamienkovou-vrstvou-28-cm-10-255-004-18625","https://www.somogyi.sk/product/panvica-mega-z-liateho-hlinika-s-neprilnavou-kamienkovou-vrstvou-28-cm-10-255-004-18625")</f>
        <v>0.0</v>
      </c>
      <c r="E368" s="7" t="n">
        <f>HYPERLINK("https://www.somogyi.sk/data/img/product_main_images/small/18625.jpg","https://www.somogyi.sk/data/img/product_main_images/small/18625.jpg")</f>
        <v>0.0</v>
      </c>
      <c r="F368" s="2" t="inlineStr">
        <is>
          <t>5205746161304</t>
        </is>
      </c>
      <c r="G368" s="4" t="inlineStr">
        <is>
          <t xml:space="preserve"> • ochranná vrstva proti pripáleniu: 5-vrstvový nepriľnavý povlak s kamenným efektom 
 • N/A: plynový, elektrický, keramický, halogénový, indukčný 
 • objem: 3 l 
 • rozmery: ∅28 cm, hrúbka: 5 mm (rozmery: 51,3 x 29,5 x 6 cm) 
 • hmotnosť: 1,13 kg 
 • materiál: liaty hliník 
 • N/A: možno umývať v umývačke riadu</t>
        </is>
      </c>
    </row>
    <row r="369">
      <c r="A369" s="3" t="inlineStr">
        <is>
          <t>10-144-103</t>
        </is>
      </c>
      <c r="B369" s="2" t="inlineStr">
        <is>
          <t>Nava panvica 28 cm</t>
        </is>
      </c>
      <c r="C369" s="1" t="n">
        <v>28.69</v>
      </c>
      <c r="D369" s="7" t="n">
        <f>HYPERLINK("https://www.somogyi.sk/product/nava-panvica-28-cm-10-144-103-17677","https://www.somogyi.sk/product/nava-panvica-28-cm-10-144-103-17677")</f>
        <v>0.0</v>
      </c>
      <c r="E369" s="7" t="n">
        <f>HYPERLINK("https://www.somogyi.sk/data/img/product_main_images/small/17677.jpg","https://www.somogyi.sk/data/img/product_main_images/small/17677.jpg")</f>
        <v>0.0</v>
      </c>
      <c r="F369" s="2" t="inlineStr">
        <is>
          <t>5205746087079</t>
        </is>
      </c>
      <c r="G369" s="4" t="inlineStr">
        <is>
          <t xml:space="preserve"> • ochranná vrstva proti pripáleniu: nepriľnavá kameninová vrstva 
 • N/A: vhodný aj na indukčnú varnú dosku 
 • rozmery: ∅28 cm 
 • N/A: umývateľný aj v umývačke riadu 
 • ďalšie informácie: závesný</t>
        </is>
      </c>
    </row>
    <row r="370">
      <c r="A370" s="3" t="inlineStr">
        <is>
          <t>10-144-100</t>
        </is>
      </c>
      <c r="B370" s="2" t="inlineStr">
        <is>
          <t>Nava panvica 20 cm</t>
        </is>
      </c>
      <c r="C370" s="1" t="n">
        <v>17.59</v>
      </c>
      <c r="D370" s="7" t="n">
        <f>HYPERLINK("https://www.somogyi.sk/product/nava-panvica-20-cm-10-144-100-17676","https://www.somogyi.sk/product/nava-panvica-20-cm-10-144-100-17676")</f>
        <v>0.0</v>
      </c>
      <c r="E370" s="7" t="n">
        <f>HYPERLINK("https://www.somogyi.sk/data/img/product_main_images/small/17676.jpg","https://www.somogyi.sk/data/img/product_main_images/small/17676.jpg")</f>
        <v>0.0</v>
      </c>
      <c r="F370" s="2" t="inlineStr">
        <is>
          <t>5205746087253</t>
        </is>
      </c>
      <c r="G370" s="4" t="inlineStr">
        <is>
          <t xml:space="preserve"> • 20 cm priemer 
 • nepriľnavý kameninový povrch 
 • vhodný na indukčnú varnú dosku 
 • vhodný na umývanie v umývačke riadu 
 • dá sa zavesiť</t>
        </is>
      </c>
    </row>
    <row r="371">
      <c r="A371" s="6" t="inlineStr">
        <is>
          <t xml:space="preserve">   Domáce spotrebiče / Hrnce a panvice</t>
        </is>
      </c>
      <c r="B371" s="6" t="inlineStr">
        <is>
          <t/>
        </is>
      </c>
      <c r="C371" s="6" t="inlineStr">
        <is>
          <t/>
        </is>
      </c>
      <c r="D371" s="6" t="inlineStr">
        <is>
          <t/>
        </is>
      </c>
      <c r="E371" s="6" t="inlineStr">
        <is>
          <t/>
        </is>
      </c>
      <c r="F371" s="6" t="inlineStr">
        <is>
          <t/>
        </is>
      </c>
      <c r="G371" s="6" t="inlineStr">
        <is>
          <t/>
        </is>
      </c>
    </row>
    <row r="372">
      <c r="A372" s="3" t="inlineStr">
        <is>
          <t>10-255-031</t>
        </is>
      </c>
      <c r="B372" s="2" t="inlineStr">
        <is>
          <t>"Ωmega" Hrniec z liateho hliníka s vekom a nepriľnavou kamienkovou vrstvou  24 cm</t>
        </is>
      </c>
      <c r="C372" s="1" t="n">
        <v>49.89</v>
      </c>
      <c r="D372" s="7" t="n">
        <f>HYPERLINK("https://www.somogyi.sk/product/-mega-hrniec-z-liateho-hlinika-s-vekom-a-neprilnavou-kamienkovou-vrstvou-24-cm-10-255-031-18630","https://www.somogyi.sk/product/-mega-hrniec-z-liateho-hlinika-s-vekom-a-neprilnavou-kamienkovou-vrstvou-24-cm-10-255-031-18630")</f>
        <v>0.0</v>
      </c>
      <c r="E372" s="7" t="n">
        <f>HYPERLINK("https://www.somogyi.sk/data/img/product_main_images/small/18630.jpg","https://www.somogyi.sk/data/img/product_main_images/small/18630.jpg")</f>
        <v>0.0</v>
      </c>
      <c r="F372" s="2" t="inlineStr">
        <is>
          <t>5205746160611</t>
        </is>
      </c>
      <c r="G372" s="4" t="inlineStr">
        <is>
          <t xml:space="preserve"> • N/A: 5-vrstvový nepriľnavý povlak s kamenným efektom 
 • N/A: plynový, elektrický, keramický, halogénový, indukčný 
 • objem: 4,4 l 
 • rozmery: ∅24 cm, hrúbka: 5 mm (rozmery: 38,5 x 25,5 x 11,5 cm) 
 • hmotnosť: 1,7 kg 
 • materiál: liaty hliník 
 • charakteristiky: tepelne odolné rukoväte soft touch 
 • N/A: možno umývať v umývačke riadu</t>
        </is>
      </c>
    </row>
    <row r="373">
      <c r="A373" s="3" t="inlineStr">
        <is>
          <t>10-144-120</t>
        </is>
      </c>
      <c r="B373" s="2" t="inlineStr">
        <is>
          <t>Nava hrniec 20 cm</t>
        </is>
      </c>
      <c r="C373" s="1" t="n">
        <v>32.69</v>
      </c>
      <c r="D373" s="7" t="n">
        <f>HYPERLINK("https://www.somogyi.sk/product/nava-hrniec-20-cm-10-144-120-17680","https://www.somogyi.sk/product/nava-hrniec-20-cm-10-144-120-17680")</f>
        <v>0.0</v>
      </c>
      <c r="E373" s="7" t="n">
        <f>HYPERLINK("https://www.somogyi.sk/data/img/product_main_images/small/17680.jpg","https://www.somogyi.sk/data/img/product_main_images/small/17680.jpg")</f>
        <v>0.0</v>
      </c>
      <c r="F373" s="2" t="inlineStr">
        <is>
          <t>5205746087048</t>
        </is>
      </c>
      <c r="G373" s="4" t="inlineStr">
        <is>
          <t xml:space="preserve"> • ochranná vrstva proti pripáleniu: nepriľnavá kameninová vrstva 
 • N/A: vhodný aj na indukčnú varnú dosku 
 • rozmery: ∅20 cm 
 • N/A: umývateľný aj v umývačke riadu</t>
        </is>
      </c>
    </row>
    <row r="374">
      <c r="A374" s="3" t="inlineStr">
        <is>
          <t>10-255-030</t>
        </is>
      </c>
      <c r="B374" s="2" t="inlineStr">
        <is>
          <t>"Ωmega" Hrniec z liateho hliníka s vekom a nepriľnavou kamienkovou vrstvou 20 cm</t>
        </is>
      </c>
      <c r="C374" s="1" t="n">
        <v>40.99</v>
      </c>
      <c r="D374" s="7" t="n">
        <f>HYPERLINK("https://www.somogyi.sk/product/-mega-hrniec-z-liateho-hlinika-s-vekom-a-neprilnavou-kamienkovou-vrstvou-20-cm-10-255-030-18629","https://www.somogyi.sk/product/-mega-hrniec-z-liateho-hlinika-s-vekom-a-neprilnavou-kamienkovou-vrstvou-20-cm-10-255-030-18629")</f>
        <v>0.0</v>
      </c>
      <c r="E374" s="7" t="n">
        <f>HYPERLINK("https://www.somogyi.sk/data/img/product_main_images/small/18629.jpg","https://www.somogyi.sk/data/img/product_main_images/small/18629.jpg")</f>
        <v>0.0</v>
      </c>
      <c r="F374" s="2" t="inlineStr">
        <is>
          <t>5205746159851</t>
        </is>
      </c>
      <c r="G374" s="4" t="inlineStr">
        <is>
          <t xml:space="preserve"> • ochranná vrstva proti pripáleniu: 5 vrstiev 
 • N/A: plynový, elektrický, keramický, halogénový, indukčný 
 • objem: 2,7 l 
 • rozmery: 21,5 x 10 x 33,2 cm 
 • hmotnosť: 1,24 kg 
 • materiál: liaty hliník 
 • charakteristiky: tepelne odolné rukoväte soft touch 
 • N/A: možno umývať v umývačke riadu</t>
        </is>
      </c>
    </row>
    <row r="375">
      <c r="A375" s="3" t="inlineStr">
        <is>
          <t>10-266-013</t>
        </is>
      </c>
      <c r="B375" s="2" t="inlineStr">
        <is>
          <t>Tlakový hrniec 6L</t>
        </is>
      </c>
      <c r="C375" s="1" t="n">
        <v>72.39</v>
      </c>
      <c r="D375" s="7" t="n">
        <f>HYPERLINK("https://www.somogyi.sk/product/tlakovy-hrniec-6l-10-266-013-18686","https://www.somogyi.sk/product/tlakovy-hrniec-6l-10-266-013-18686")</f>
        <v>0.0</v>
      </c>
      <c r="E375" s="7" t="n">
        <f>HYPERLINK("https://www.somogyi.sk/data/img/product_main_images/small/18686.jpg","https://www.somogyi.sk/data/img/product_main_images/small/18686.jpg")</f>
        <v>0.0</v>
      </c>
      <c r="F375" s="2" t="inlineStr">
        <is>
          <t>5205746168792</t>
        </is>
      </c>
      <c r="G375" s="4" t="inlineStr">
        <is>
          <t xml:space="preserve"> • N/A: plynový, elektrický, indukčný, halogénový 
 • objem: 6 l 
 • rozmery: ∅22 cm 
 • charakteristiky: vnútorná stupnica (0,5 litrová stupnica) • ventil na reguláciu tlaku • vinylové rukoväte 
 • N/A: možno umývať v umývačke riadu</t>
        </is>
      </c>
    </row>
    <row r="376">
      <c r="A376" s="3" t="inlineStr">
        <is>
          <t>10-053-001</t>
        </is>
      </c>
      <c r="B376" s="2" t="inlineStr">
        <is>
          <t>Oválna nádoba na praženie kávy so smaltovaným povrchom 42 cm</t>
        </is>
      </c>
      <c r="C376" s="1" t="n">
        <v>27.29</v>
      </c>
      <c r="D376" s="7" t="n">
        <f>HYPERLINK("https://www.somogyi.sk/product/ovalna-nadoba-na-prazenie-kavy-so-smaltovanym-povrchom-42-cm-10-053-001-18635","https://www.somogyi.sk/product/ovalna-nadoba-na-prazenie-kavy-so-smaltovanym-povrchom-42-cm-10-053-001-18635")</f>
        <v>0.0</v>
      </c>
      <c r="E376" s="7" t="n">
        <f>HYPERLINK("https://www.somogyi.sk/data/img/product_main_images/small/18635.jpg","https://www.somogyi.sk/data/img/product_main_images/small/18635.jpg")</f>
        <v>0.0</v>
      </c>
      <c r="F376" s="2" t="inlineStr">
        <is>
          <t>5205746866735</t>
        </is>
      </c>
      <c r="G376" s="4" t="inlineStr">
        <is>
          <t xml:space="preserve"> • N/A: plynový, elektrický 
 • objem: 6 l 
 • rozmery: 42 x 32 cm 
 • hmotnosť: 1,6 kg 
 • N/A: aj v umývačke riadu</t>
        </is>
      </c>
    </row>
    <row r="377">
      <c r="A377" s="3" t="inlineStr">
        <is>
          <t>10-144-130</t>
        </is>
      </c>
      <c r="B377" s="2" t="inlineStr">
        <is>
          <t>Nava pekáč 28 cm</t>
        </is>
      </c>
      <c r="C377" s="1" t="n">
        <v>40.49</v>
      </c>
      <c r="D377" s="7" t="n">
        <f>HYPERLINK("https://www.somogyi.sk/product/nava-pekac-28-cm-10-144-130-17682","https://www.somogyi.sk/product/nava-pekac-28-cm-10-144-130-17682")</f>
        <v>0.0</v>
      </c>
      <c r="E377" s="7" t="n">
        <f>HYPERLINK("https://www.somogyi.sk/data/img/product_main_images/small/17682.jpg","https://www.somogyi.sk/data/img/product_main_images/small/17682.jpg")</f>
        <v>0.0</v>
      </c>
      <c r="F377" s="2" t="inlineStr">
        <is>
          <t>5205746087567</t>
        </is>
      </c>
      <c r="G377" s="4" t="inlineStr">
        <is>
          <t xml:space="preserve"> • ochranná vrstva proti pripáleniu: nepriľnavá kameninová vrstva 
 • N/A: vhodný aj na indukčnú varnú dosku 
 • rozmery: ∅28 cm 
 • N/A: umývateľný aj v umývačke riadu</t>
        </is>
      </c>
    </row>
    <row r="378">
      <c r="A378" s="3" t="inlineStr">
        <is>
          <t>10-144-122</t>
        </is>
      </c>
      <c r="B378" s="2" t="inlineStr">
        <is>
          <t>Nava hrniec 28 cm</t>
        </is>
      </c>
      <c r="C378" s="1" t="n">
        <v>48.79</v>
      </c>
      <c r="D378" s="7" t="n">
        <f>HYPERLINK("https://www.somogyi.sk/product/nava-hrniec-28-cm-10-144-122-17681","https://www.somogyi.sk/product/nava-hrniec-28-cm-10-144-122-17681")</f>
        <v>0.0</v>
      </c>
      <c r="E378" s="7" t="n">
        <f>HYPERLINK("https://www.somogyi.sk/data/img/product_main_images/small/17681.jpg","https://www.somogyi.sk/data/img/product_main_images/small/17681.jpg")</f>
        <v>0.0</v>
      </c>
      <c r="F378" s="2" t="inlineStr">
        <is>
          <t>5205746087222</t>
        </is>
      </c>
      <c r="G378" s="4" t="inlineStr">
        <is>
          <t xml:space="preserve"> • ochranná vrstva proti pripáleniu: nepriľnavá kameninová vrstva 
 • N/A: vhodný aj na indukčnú varnú dosku 
 • rozmery: ∅28 cm 
 • N/A: umývateľný aj v umývačke riadu</t>
        </is>
      </c>
    </row>
    <row r="379">
      <c r="A379" s="6" t="inlineStr">
        <is>
          <t xml:space="preserve">   Domáce spotrebiče / Forma na pečenie</t>
        </is>
      </c>
      <c r="B379" s="6" t="inlineStr">
        <is>
          <t/>
        </is>
      </c>
      <c r="C379" s="6" t="inlineStr">
        <is>
          <t/>
        </is>
      </c>
      <c r="D379" s="6" t="inlineStr">
        <is>
          <t/>
        </is>
      </c>
      <c r="E379" s="6" t="inlineStr">
        <is>
          <t/>
        </is>
      </c>
      <c r="F379" s="6" t="inlineStr">
        <is>
          <t/>
        </is>
      </c>
      <c r="G379" s="6" t="inlineStr">
        <is>
          <t/>
        </is>
      </c>
    </row>
    <row r="380">
      <c r="A380" s="3" t="inlineStr">
        <is>
          <t>0152-420</t>
        </is>
      </c>
      <c r="B380" s="2" t="inlineStr">
        <is>
          <t>PEDRINI nástroj na zdobenie</t>
        </is>
      </c>
      <c r="C380" s="1" t="n">
        <v>7.59</v>
      </c>
      <c r="D380" s="7" t="n">
        <f>HYPERLINK("https://www.somogyi.sk/product/pedrini-nastroj-na-zdobenie-0152-420-18079","https://www.somogyi.sk/product/pedrini-nastroj-na-zdobenie-0152-420-18079")</f>
        <v>0.0</v>
      </c>
      <c r="E380" s="7" t="n">
        <f>HYPERLINK("https://www.somogyi.sk/data/img/product_main_images/small/18079.jpg","https://www.somogyi.sk/data/img/product_main_images/small/18079.jpg")</f>
        <v>0.0</v>
      </c>
      <c r="F380" s="2" t="inlineStr">
        <is>
          <t>8006330564047</t>
        </is>
      </c>
      <c r="G380" s="4" t="inlineStr">
        <is>
          <t xml:space="preserve"> • pripojenia: ozdobná trubica s piatimi hlavami 
 • materiál: plast 
 • ďalšie informácie: talianska kvalita</t>
        </is>
      </c>
    </row>
    <row r="381">
      <c r="A381" s="3" t="inlineStr">
        <is>
          <t>0147-320</t>
        </is>
      </c>
      <c r="B381" s="2" t="inlineStr">
        <is>
          <t>PEDRINI strúhadlo na syr</t>
        </is>
      </c>
      <c r="C381" s="1" t="n">
        <v>16.89</v>
      </c>
      <c r="D381" s="7" t="n">
        <f>HYPERLINK("https://www.somogyi.sk/product/pedrini-struhadlo-na-syr-0147-320-18086","https://www.somogyi.sk/product/pedrini-struhadlo-na-syr-0147-320-18086")</f>
        <v>0.0</v>
      </c>
      <c r="E381" s="7" t="n">
        <f>HYPERLINK("https://www.somogyi.sk/data/img/product_main_images/small/18086.jpg","https://www.somogyi.sk/data/img/product_main_images/small/18086.jpg")</f>
        <v>0.0</v>
      </c>
      <c r="F381" s="2" t="inlineStr">
        <is>
          <t>8006330001474</t>
        </is>
      </c>
      <c r="G381" s="4" t="inlineStr">
        <is>
          <t xml:space="preserve"> • ďalšie informácie: jednoduché použitie • ergonomický dizajn • vhodný do umývačky riadu • talianska kvalita</t>
        </is>
      </c>
    </row>
    <row r="382">
      <c r="A382" s="3" t="inlineStr">
        <is>
          <t>10-239-003</t>
        </is>
      </c>
      <c r="B382" s="2" t="inlineStr">
        <is>
          <t>Plech "Imperial", 43 cm</t>
        </is>
      </c>
      <c r="C382" s="1" t="n">
        <v>6.99</v>
      </c>
      <c r="D382" s="7" t="n">
        <f>HYPERLINK("https://www.somogyi.sk/product/plech-imperial-43-cm-10-239-003-18363","https://www.somogyi.sk/product/plech-imperial-43-cm-10-239-003-18363")</f>
        <v>0.0</v>
      </c>
      <c r="E382" s="7" t="n">
        <f>HYPERLINK("https://www.somogyi.sk/data/img/product_main_images/small/18363.jpg","https://www.somogyi.sk/data/img/product_main_images/small/18363.jpg")</f>
        <v>0.0</v>
      </c>
      <c r="F382" s="2" t="inlineStr">
        <is>
          <t>5205746153477</t>
        </is>
      </c>
      <c r="G382" s="4" t="inlineStr">
        <is>
          <t xml:space="preserve"> • nepriľnavý povlak 
 • hrúbka: 0,4 mm 
 • výška: 1,5 cm 
 • materiál: uhlíková oceľ 
 • rozmery: 29 x 43,5 cm</t>
        </is>
      </c>
    </row>
    <row r="383">
      <c r="A383" s="3" t="inlineStr">
        <is>
          <t>03GD122G</t>
        </is>
      </c>
      <c r="B383" s="2" t="inlineStr">
        <is>
          <t>PEDRINI forma na muffiny</t>
        </is>
      </c>
      <c r="C383" s="1" t="n">
        <v>17.19</v>
      </c>
      <c r="D383" s="7" t="n">
        <f>HYPERLINK("https://www.somogyi.sk/product/pedrini-forma-na-muffiny-03gd122g-18083","https://www.somogyi.sk/product/pedrini-forma-na-muffiny-03gd122g-18083")</f>
        <v>0.0</v>
      </c>
      <c r="E383" s="7" t="n">
        <f>HYPERLINK("https://www.somogyi.sk/data/img/product_main_images/small/18083.jpg","https://www.somogyi.sk/data/img/product_main_images/small/18083.jpg")</f>
        <v>0.0</v>
      </c>
      <c r="F383" s="2" t="inlineStr">
        <is>
          <t>8006330010834</t>
        </is>
      </c>
      <c r="G383" s="4" t="inlineStr">
        <is>
          <t xml:space="preserve"> • ochranná vrstva proti pripáleniu: dvojitá nepriľnavá vrstva 
 • rozmery: 35 x 27 cm 
 • ďalšie informácie: 12 porcií • dá sa umývať v umývačke riadu • talianska kvalita</t>
        </is>
      </c>
    </row>
    <row r="384">
      <c r="A384" s="3" t="inlineStr">
        <is>
          <t>03GD105G</t>
        </is>
      </c>
      <c r="B384" s="2" t="inlineStr">
        <is>
          <t>PEDRINI okrúhla tortová forma so sponou</t>
        </is>
      </c>
      <c r="C384" s="1" t="n">
        <v>20.39</v>
      </c>
      <c r="D384" s="7" t="n">
        <f>HYPERLINK("https://www.somogyi.sk/product/pedrini-okruhla-tortova-forma-so-sponou-03gd105g-18081","https://www.somogyi.sk/product/pedrini-okruhla-tortova-forma-so-sponou-03gd105g-18081")</f>
        <v>0.0</v>
      </c>
      <c r="E384" s="7" t="n">
        <f>HYPERLINK("https://www.somogyi.sk/data/img/product_main_images/small/18081.jpg","https://www.somogyi.sk/data/img/product_main_images/small/18081.jpg")</f>
        <v>0.0</v>
      </c>
      <c r="F384" s="2" t="inlineStr">
        <is>
          <t>8006330010155</t>
        </is>
      </c>
      <c r="G384" s="4" t="inlineStr">
        <is>
          <t xml:space="preserve"> • rozmery: ∅24 x 7,6 cm 
 • materiál: nehrdzavejúca oceľ</t>
        </is>
      </c>
    </row>
    <row r="385">
      <c r="A385" s="3" t="inlineStr">
        <is>
          <t>03GD259</t>
        </is>
      </c>
      <c r="B385" s="2" t="inlineStr">
        <is>
          <t>PEDRINI plastová stierka</t>
        </is>
      </c>
      <c r="C385" s="1" t="n">
        <v>4.39</v>
      </c>
      <c r="D385" s="7" t="n">
        <f>HYPERLINK("https://www.somogyi.sk/product/pedrini-plastova-stierka-03gd259-18085","https://www.somogyi.sk/product/pedrini-plastova-stierka-03gd259-18085")</f>
        <v>0.0</v>
      </c>
      <c r="E385" s="7" t="n">
        <f>HYPERLINK("https://www.somogyi.sk/data/img/product_main_images/small/18085.jpg","https://www.somogyi.sk/data/img/product_main_images/small/18085.jpg")</f>
        <v>0.0</v>
      </c>
      <c r="F385" s="2" t="inlineStr">
        <is>
          <t>0883336401990</t>
        </is>
      </c>
      <c r="G385" s="4" t="inlineStr">
        <is>
          <t xml:space="preserve"> • materiál: pružný plast</t>
        </is>
      </c>
    </row>
    <row r="386">
      <c r="A386" s="3" t="inlineStr">
        <is>
          <t>10-103-171</t>
        </is>
      </c>
      <c r="B386" s="2" t="inlineStr">
        <is>
          <t>"Terrestrial" obdĺžnikový plech na pečenie s nepriľnavým keramickým povrchom 40 cm</t>
        </is>
      </c>
      <c r="C386" s="1" t="n">
        <v>21.49</v>
      </c>
      <c r="D386" s="7" t="n">
        <f>HYPERLINK("https://www.somogyi.sk/product/-terrestrial-obdlznikovy-plech-na-pecenie-s-neprilnavym-keramickym-povrchom-40-cm-10-103-171-18633","https://www.somogyi.sk/product/-terrestrial-obdlznikovy-plech-na-pecenie-s-neprilnavym-keramickym-povrchom-40-cm-10-103-171-18633")</f>
        <v>0.0</v>
      </c>
      <c r="E386" s="7" t="n">
        <f>HYPERLINK("https://www.somogyi.sk/data/img/product_main_images/small/18633.jpg","https://www.somogyi.sk/data/img/product_main_images/small/18633.jpg")</f>
        <v>0.0</v>
      </c>
      <c r="F386" s="2" t="inlineStr">
        <is>
          <t>5205746152920</t>
        </is>
      </c>
      <c r="G386" s="4" t="inlineStr">
        <is>
          <t xml:space="preserve"> • objem: 6,0 liter 
 • rozmery: 28 x 40 cm 
 • hmotnosť: 0,61 kg 
 • materiál: uhlíková oceľ 
 • N/A: plynový, elektrický 
 • N/A: možno umývať v umývačke riadu</t>
        </is>
      </c>
    </row>
    <row r="387">
      <c r="A387" s="3" t="inlineStr">
        <is>
          <t>03GD109G</t>
        </is>
      </c>
      <c r="B387" s="2" t="inlineStr">
        <is>
          <t>PEDRINI forma na tortu v tvare srdca</t>
        </is>
      </c>
      <c r="C387" s="1" t="n">
        <v>12.99</v>
      </c>
      <c r="D387" s="7" t="n">
        <f>HYPERLINK("https://www.somogyi.sk/product/pedrini-forma-na-tortu-v-tvare-srdca-03gd109g-18082","https://www.somogyi.sk/product/pedrini-forma-na-tortu-v-tvare-srdca-03gd109g-18082")</f>
        <v>0.0</v>
      </c>
      <c r="E387" s="7" t="n">
        <f>HYPERLINK("https://www.somogyi.sk/data/img/product_main_images/small/18082.jpg","https://www.somogyi.sk/data/img/product_main_images/small/18082.jpg")</f>
        <v>0.0</v>
      </c>
      <c r="F387" s="2" t="inlineStr">
        <is>
          <t>8006330010612</t>
        </is>
      </c>
      <c r="G387" s="4" t="inlineStr">
        <is>
          <t xml:space="preserve"> • ochranná vrstva proti pripáleniu: dvojitá nepriľnavá vrstva 
 • rozmery: 25 x 25 cm 
 • ďalšie informácie: vhodný do umývačky riadu • talianska kvalita</t>
        </is>
      </c>
    </row>
    <row r="388">
      <c r="A388" s="6" t="inlineStr">
        <is>
          <t xml:space="preserve">   Domáce spotrebiče / Nôž, sada nožov</t>
        </is>
      </c>
      <c r="B388" s="6" t="inlineStr">
        <is>
          <t/>
        </is>
      </c>
      <c r="C388" s="6" t="inlineStr">
        <is>
          <t/>
        </is>
      </c>
      <c r="D388" s="6" t="inlineStr">
        <is>
          <t/>
        </is>
      </c>
      <c r="E388" s="6" t="inlineStr">
        <is>
          <t/>
        </is>
      </c>
      <c r="F388" s="6" t="inlineStr">
        <is>
          <t/>
        </is>
      </c>
      <c r="G388" s="6" t="inlineStr">
        <is>
          <t/>
        </is>
      </c>
    </row>
    <row r="389">
      <c r="A389" s="3" t="inlineStr">
        <is>
          <t>10-167-021</t>
        </is>
      </c>
      <c r="B389" s="2" t="inlineStr">
        <is>
          <t>Sada nožov z nehrdzavejúcej ocele 8 ks na akrylovom stojane</t>
        </is>
      </c>
      <c r="C389" s="1" t="n">
        <v>56.59</v>
      </c>
      <c r="D389" s="7" t="n">
        <f>HYPERLINK("https://www.somogyi.sk/product/sada-nozov-z-nehrdzavejucej-ocele-8-ks-na-akrylovom-stojane-10-167-021-18667","https://www.somogyi.sk/product/sada-nozov-z-nehrdzavejucej-ocele-8-ks-na-akrylovom-stojane-10-167-021-18667")</f>
        <v>0.0</v>
      </c>
      <c r="E389" s="7" t="n">
        <f>HYPERLINK("https://www.somogyi.sk/data/img/product_main_images/small/18667.jpg","https://www.somogyi.sk/data/img/product_main_images/small/18667.jpg")</f>
        <v>0.0</v>
      </c>
      <c r="F389" s="2" t="inlineStr">
        <is>
          <t>5205746905106</t>
        </is>
      </c>
      <c r="G389" s="4" t="inlineStr">
        <is>
          <t xml:space="preserve"> • pripojenia: • sekáčik (čepeľ 17,0 cm - rukoväť 13,5 cm) 
 • • kuchársky nôž (čepeľ 20,0 cm - rukoväť 13,5 cm) 
 • • nôž na chlieb (čepeľ 20,0 cm - rukoväť 13,5 cm) 
 • • všeobecný nôž (čepeľ 11,5 cm - rukoväť 11,0 cm) 
 • • malý nôž (čepeľ 9,0 cm - rukoväť 11,0 cm) 
 • • brúska na nože (brúska 19,0 cm - rukoväť 11,0 cm) 
 • • kuchynské nožnice 18,5 cm 
 • materiál: 18/8 nehrdzavejúci oceľ 
 • držiak: akrylový stojan (otočný o 360°)</t>
        </is>
      </c>
    </row>
    <row r="390">
      <c r="A390" s="6" t="inlineStr">
        <is>
          <t xml:space="preserve">   Domáce spotrebiče / Teplomery</t>
        </is>
      </c>
      <c r="B390" s="6" t="inlineStr">
        <is>
          <t/>
        </is>
      </c>
      <c r="C390" s="6" t="inlineStr">
        <is>
          <t/>
        </is>
      </c>
      <c r="D390" s="6" t="inlineStr">
        <is>
          <t/>
        </is>
      </c>
      <c r="E390" s="6" t="inlineStr">
        <is>
          <t/>
        </is>
      </c>
      <c r="F390" s="6" t="inlineStr">
        <is>
          <t/>
        </is>
      </c>
      <c r="G390" s="6" t="inlineStr">
        <is>
          <t/>
        </is>
      </c>
    </row>
    <row r="391">
      <c r="A391" s="3" t="inlineStr">
        <is>
          <t>10-274-040</t>
        </is>
      </c>
      <c r="B391" s="2" t="inlineStr">
        <is>
          <t>Digitálny jadrový teplomer "Acer", 22 cm</t>
        </is>
      </c>
      <c r="C391" s="1" t="n">
        <v>10.79</v>
      </c>
      <c r="D391" s="7" t="n">
        <f>HYPERLINK("https://www.somogyi.sk/product/digitalny-jadrovy-teplomer-acer-22-cm-10-274-040-15824","https://www.somogyi.sk/product/digitalny-jadrovy-teplomer-acer-22-cm-10-274-040-15824")</f>
        <v>0.0</v>
      </c>
      <c r="E391" s="7" t="n">
        <f>HYPERLINK("https://www.somogyi.sk/data/img/product_main_images/small/15824.jpg","https://www.somogyi.sk/data/img/product_main_images/small/15824.jpg")</f>
        <v>0.0</v>
      </c>
      <c r="F391" s="2" t="inlineStr">
        <is>
          <t>5205746175370</t>
        </is>
      </c>
      <c r="G391" s="4" t="inlineStr">
        <is>
          <t xml:space="preserve"> • displej: LCD 
 • interval merania: medzi -30 °C a  250 °C (-22 °F a  482 °F) 
 •  
 • napájanie: 1 x 1,5 V LR44 batéria (nie je príslušenstvom) 
 • za/vypínač: áno 
 • N/A: áno 
 • N/A: 0,1 °C / 0,1 °F</t>
        </is>
      </c>
    </row>
    <row r="392">
      <c r="A392" s="3" t="inlineStr">
        <is>
          <t>HG TM 01</t>
        </is>
      </c>
      <c r="B392" s="2" t="inlineStr">
        <is>
          <t>Kuchynský teplomer, digitálny</t>
        </is>
      </c>
      <c r="C392" s="1" t="n">
        <v>6.59</v>
      </c>
      <c r="D392" s="7" t="n">
        <f>HYPERLINK("https://www.somogyi.sk/product/kuchynsky-teplomer-digitalny-hg-tm-01-17771","https://www.somogyi.sk/product/kuchynsky-teplomer-digitalny-hg-tm-01-17771")</f>
        <v>0.0</v>
      </c>
      <c r="E392" s="7" t="n">
        <f>HYPERLINK("https://www.somogyi.sk/data/img/product_main_images/small/17771.jpg","https://www.somogyi.sk/data/img/product_main_images/small/17771.jpg")</f>
        <v>0.0</v>
      </c>
      <c r="F392" s="2" t="inlineStr">
        <is>
          <t>5999084957933</t>
        </is>
      </c>
      <c r="G392" s="4" t="inlineStr">
        <is>
          <t xml:space="preserve"> • interval merania: - 50 -   300 °C 
 • rozmery: 26 x 3 x 1,5 cm (dĺžka sondy: 15 cm) 
 • napájanie: 1x1,5 V (LR44) gombíková batéria, je príslušenstvom</t>
        </is>
      </c>
    </row>
    <row r="393">
      <c r="A393" s="6" t="inlineStr">
        <is>
          <t xml:space="preserve">   Domáce spotrebiče / Mysoda</t>
        </is>
      </c>
      <c r="B393" s="6" t="inlineStr">
        <is>
          <t/>
        </is>
      </c>
      <c r="C393" s="6" t="inlineStr">
        <is>
          <t/>
        </is>
      </c>
      <c r="D393" s="6" t="inlineStr">
        <is>
          <t/>
        </is>
      </c>
      <c r="E393" s="6" t="inlineStr">
        <is>
          <t/>
        </is>
      </c>
      <c r="F393" s="6" t="inlineStr">
        <is>
          <t/>
        </is>
      </c>
      <c r="G393" s="6" t="inlineStr">
        <is>
          <t/>
        </is>
      </c>
    </row>
    <row r="394">
      <c r="A394" s="3" t="inlineStr">
        <is>
          <t>HGSZG1000</t>
        </is>
      </c>
      <c r="B394" s="2" t="inlineStr">
        <is>
          <t>Výrobník sódy, biela/inox, 1000 ml prémiová fľaša</t>
        </is>
      </c>
      <c r="C394" s="1" t="n">
        <v>51.59</v>
      </c>
      <c r="D394" s="7" t="n">
        <f>HYPERLINK("https://www.somogyi.sk/product/vyrobnik-sody-biela-inox-1000-ml-premiova-flasa-hgszg1000-18397","https://www.somogyi.sk/product/vyrobnik-sody-biela-inox-1000-ml-premiova-flasa-hgszg1000-18397")</f>
        <v>0.0</v>
      </c>
      <c r="E394" s="7" t="n">
        <f>HYPERLINK("https://www.somogyi.sk/data/img/product_main_images/small/18397.jpg","https://www.somogyi.sk/data/img/product_main_images/small/18397.jpg")</f>
        <v>0.0</v>
      </c>
      <c r="F394" s="2" t="inlineStr">
        <is>
          <t>5999084964153</t>
        </is>
      </c>
      <c r="G394" s="4" t="inlineStr">
        <is>
          <t xml:space="preserve"> • obsah setu: 1 výrobník sódy, 1 fľaša na vodu bez BPA s uzáverom a podstavcom z nehrdzavejúcej ocele 
 • objem: 1 l 
 • N/A: max.0,85 l 
 • rozmery: 14 x 41,5 x 25 cm 
 • ďalšie informácie: Balenie neobsahuje bombičku CO2!</t>
        </is>
      </c>
    </row>
    <row r="395">
      <c r="A395" s="3" t="inlineStr">
        <is>
          <t>HGSZG1000P</t>
        </is>
      </c>
      <c r="B395" s="2" t="inlineStr">
        <is>
          <t>Prémiová fľaša1000 ml pre výrobník sódy</t>
        </is>
      </c>
      <c r="C395" s="1" t="n">
        <v>9.79</v>
      </c>
      <c r="D395" s="7" t="n">
        <f>HYPERLINK("https://www.somogyi.sk/product/premiova-flasa1000-ml-pre-vyrobnik-sody-hgszg1000p-18398","https://www.somogyi.sk/product/premiova-flasa1000-ml-pre-vyrobnik-sody-hgszg1000p-18398")</f>
        <v>0.0</v>
      </c>
      <c r="E395" s="7" t="n">
        <f>HYPERLINK("https://www.somogyi.sk/data/img/product_main_images/small/18398.jpg","https://www.somogyi.sk/data/img/product_main_images/small/18398.jpg")</f>
        <v>0.0</v>
      </c>
      <c r="F395" s="2" t="inlineStr">
        <is>
          <t>5999084964160</t>
        </is>
      </c>
      <c r="G395" s="4" t="inlineStr">
        <is>
          <t xml:space="preserve"> • materiál: PET plast bez BPA • veko a podstavec z nehrdzavejúcej ocele 
 • objem: 1 l 
 • N/A: max. 850 ml 
 • hmotnosť: 230 g (prázdna hmotnosť)</t>
        </is>
      </c>
    </row>
    <row r="396">
      <c r="A396" s="3" t="inlineStr">
        <is>
          <t>MSO-RB003AL-S</t>
        </is>
      </c>
      <c r="B396" s="2" t="inlineStr">
        <is>
          <t>Mysoda Ruby výrobník sódy SILVER</t>
        </is>
      </c>
      <c r="C396" s="1" t="n">
        <v>180.9</v>
      </c>
      <c r="D396" s="7" t="n">
        <f>HYPERLINK("https://www.somogyi.sk/product/mysoda-ruby-vyrobnik-sody-silver-mso-rb003al-s-17872","https://www.somogyi.sk/product/mysoda-ruby-vyrobnik-sody-silver-mso-rb003al-s-17872")</f>
        <v>0.0</v>
      </c>
      <c r="E396" s="7" t="n">
        <f>HYPERLINK("https://www.somogyi.sk/data/img/product_main_images/small/17872.jpg","https://www.somogyi.sk/data/img/product_main_images/small/17872.jpg")</f>
        <v>0.0</v>
      </c>
      <c r="F396" s="2" t="inlineStr">
        <is>
          <t>6430052009227</t>
        </is>
      </c>
      <c r="G396" s="4" t="inlineStr">
        <is>
          <t xml:space="preserve"> • materiál: hliník 
 • obsah setu: 1 prístroj na prípravu perlivej vody, 2 opakovane použiteľné fľaše na vodu (0,5 l a 1 l), 1 bombička CO2 
 • objem: fľaša: 1,0 l (33,8 oz.) 
 • N/A: fľaša: max.0,85 l (28,7 oz.) 
 • teplota: max. prevádzková teplota: 40°C/104°F 
 • N/A: max. prevádzkový tlak: 10 bar/145 Ps 
 • rozmery: 14,3 x 41 x 24 cm</t>
        </is>
      </c>
    </row>
    <row r="397">
      <c r="A397" s="6" t="inlineStr">
        <is>
          <t xml:space="preserve">   Domáce spotrebiče / Kuchynské digestory</t>
        </is>
      </c>
      <c r="B397" s="6" t="inlineStr">
        <is>
          <t/>
        </is>
      </c>
      <c r="C397" s="6" t="inlineStr">
        <is>
          <t/>
        </is>
      </c>
      <c r="D397" s="6" t="inlineStr">
        <is>
          <t/>
        </is>
      </c>
      <c r="E397" s="6" t="inlineStr">
        <is>
          <t/>
        </is>
      </c>
      <c r="F397" s="6" t="inlineStr">
        <is>
          <t/>
        </is>
      </c>
      <c r="G397" s="6" t="inlineStr">
        <is>
          <t/>
        </is>
      </c>
    </row>
    <row r="398">
      <c r="A398" s="3" t="inlineStr">
        <is>
          <t>KPE 6090/A</t>
        </is>
      </c>
      <c r="B398" s="2" t="inlineStr">
        <is>
          <t>Hliníkový tukový filter pre odsávače pár CYCLONE</t>
        </is>
      </c>
      <c r="C398" s="1" t="n">
        <v>8.09</v>
      </c>
      <c r="D398" s="7" t="n">
        <f>HYPERLINK("https://www.somogyi.sk/product/hlinikovy-tukovy-filter-pre-odsavace-par-cyclone-kpe-6090-a-18143","https://www.somogyi.sk/product/hlinikovy-tukovy-filter-pre-odsavace-par-cyclone-kpe-6090-a-18143")</f>
        <v>0.0</v>
      </c>
      <c r="E398" s="7" t="n">
        <f>HYPERLINK("https://www.somogyi.sk/data/img/product_main_images/small/18143.jpg","https://www.somogyi.sk/data/img/product_main_images/small/18143.jpg")</f>
        <v>0.0</v>
      </c>
      <c r="F398" s="2" t="inlineStr">
        <is>
          <t>5999084961657</t>
        </is>
      </c>
      <c r="G398" s="4" t="inlineStr">
        <is>
          <t>KPE 6090/A je umývateľný 5-vrstvový filter z hliníkovej sieťoviny, ktorý sa dokonale hodí ku všetkým kuchynským odsávačom pár radu CYCLONE.</t>
        </is>
      </c>
    </row>
    <row r="399">
      <c r="A399" s="3" t="inlineStr">
        <is>
          <t>KPE 5019/COT</t>
        </is>
      </c>
      <c r="B399" s="2" t="inlineStr">
        <is>
          <t>Bavlnený filter pre odsávače pár STORM</t>
        </is>
      </c>
      <c r="C399" s="1" t="n">
        <v>6.19</v>
      </c>
      <c r="D399" s="7" t="n">
        <f>HYPERLINK("https://www.somogyi.sk/product/bavlneny-filter-pre-odsavace-par-storm-kpe-5019-cot-18160","https://www.somogyi.sk/product/bavlneny-filter-pre-odsavace-par-storm-kpe-5019-cot-18160")</f>
        <v>0.0</v>
      </c>
      <c r="E399" s="7" t="n">
        <f>HYPERLINK("https://www.somogyi.sk/data/img/product_main_images/small/18160.jpg","https://www.somogyi.sk/data/img/product_main_images/small/18160.jpg")</f>
        <v>0.0</v>
      </c>
      <c r="F399" s="2" t="inlineStr">
        <is>
          <t>5999084961824</t>
        </is>
      </c>
      <c r="G399" s="4" t="inlineStr">
        <is>
          <t>KPE 5019/COT (1 kus) bavlnený filter  sa dokonale hodí ku všetkým kuchynským odsávačom pár radu STORM.</t>
        </is>
      </c>
    </row>
    <row r="400">
      <c r="A400" s="3" t="inlineStr">
        <is>
          <t>KPE 6020W</t>
        </is>
      </c>
      <c r="B400" s="2" t="inlineStr">
        <is>
          <t>Kuchynský odsávač pár TORNADO 60 cm, biely</t>
        </is>
      </c>
      <c r="C400" s="1" t="n">
        <v>69.69</v>
      </c>
      <c r="D400" s="7" t="n">
        <f>HYPERLINK("https://www.somogyi.sk/product/kuchynsky-odsavac-par-tornado-60-cm-biely-kpe-6020w-18153","https://www.somogyi.sk/product/kuchynsky-odsavac-par-tornado-60-cm-biely-kpe-6020w-18153")</f>
        <v>0.0</v>
      </c>
      <c r="E400" s="7" t="n">
        <f>HYPERLINK("https://www.somogyi.sk/data/img/product_main_images/small/18153.jpg","https://www.somogyi.sk/data/img/product_main_images/small/18153.jpg")</f>
        <v>0.0</v>
      </c>
      <c r="F400" s="2" t="inlineStr">
        <is>
          <t>5999084961756</t>
        </is>
      </c>
      <c r="G400" s="4" t="inlineStr">
        <is>
          <t>KPE 6020W z nášho radu kuchynských odsávačov pár TORNADO je dokonalou kombináciou moderného dizajnu a efektívnej prevádzky. Biele lakované telo z oceľového plechu dodá vašej kuchyni výnimočný vzhľad. Výrobok sa ľahko ovláda pomocou tlačidiel. Prúd vzduchu je možné regulovať v 3 rýchlostiach v režime odsávania alebo cirkulácie vzduchu. 
Tento odsávač pár je špeciálne navrhnutý na domáce použitie a ponúka celý rad praktických funkcií. Spotrebič sa dodáva s umývateľným 3-vrstvovým hliníkovým sieťovým  tukovým filtrom a 2-dielnou súpravou uhlíkových filtrov, ktoré prispievajú k účinnej filtrácii vzduchu a príjemnej atmosfére v kuchyni. 
Výrobok má šírku 60 cm a dosahuje prietok vzduchu až 200 m3/h, čím zabezpečuje účinné odsávanie pár aj počas intenzívnej kuchynskej činnosti. Pri správnej inštalácii odsávača pár je dôležité vyhľadať pomoc odborníka, aby sa zaručila bezpečná a optimálna prevádzka. 
S odsávačom pár KPE 6020W bude vaša kuchyňa čistá a vetraná!</t>
        </is>
      </c>
    </row>
    <row r="401">
      <c r="A401" s="3" t="inlineStr">
        <is>
          <t>KPE 6038W</t>
        </is>
      </c>
      <c r="B401" s="2" t="inlineStr">
        <is>
          <t>Kuchynský odsávač pár HURRICANE 60 cm, 2 motory, biely</t>
        </is>
      </c>
      <c r="C401" s="1" t="n">
        <v>114.9</v>
      </c>
      <c r="D401" s="7" t="n">
        <f>HYPERLINK("https://www.somogyi.sk/product/kuchynsky-odsavac-par-hurricane-60-cm-2-motory-biely-kpe-6038w-18149","https://www.somogyi.sk/product/kuchynsky-odsavac-par-hurricane-60-cm-2-motory-biely-kpe-6038w-18149")</f>
        <v>0.0</v>
      </c>
      <c r="E401" s="7" t="n">
        <f>HYPERLINK("https://www.somogyi.sk/data/img/product_main_images/small/18149.jpg","https://www.somogyi.sk/data/img/product_main_images/small/18149.jpg")</f>
        <v>0.0</v>
      </c>
      <c r="F401" s="2" t="inlineStr">
        <is>
          <t>5999084961718</t>
        </is>
      </c>
      <c r="G401" s="4" t="inlineStr">
        <is>
          <t>Náš kuchynský odsávač pár KPE 6038W s 2 motormi HURRICANE je dokonalou kombináciou moderného dizajnu a efektívnej prevádzky. Biele lakované telo z oceľového plechu dodá vašej kuchyni výnimočný vzhľad. Výrobok sa ľahko ovláda pomocou tlačidiel. Prúd vzduchu možno regulovať v 3 rýchlostiach v režime odsávania alebo cirkulácie vzduchu. 
Tento odsávač pár je špeciálne navrhnutý na domáce použitie a ponúka celý rad praktických funkcií. Spotrebič sa dodáva s umývateľným 3-vrstvovým hliníkovým sieťovým  tukovým filtrom a 2-dielnou súpravou uhlíkových filtrov, ktoré prispievajú k účinnej filtrácii vzduchu a príjemnej atmosfére v kuchyni. 
Výrobok má šírku 60 cm a dosahuje prietok vzduchu až 380 m3/h, čím zabezpečuje účinné odsávanie pár aj počas intenzívnej kuchynskej činnosti. Pri správnej inštalácii odsávača pár je dôležité vyhľadať pomoc odborníka, aby sa zaručila bezpečná a optimálna prevádzka. 
S odsávačom pár KPE 6038W bude vaša kuchyňa čistá a vetraná!</t>
        </is>
      </c>
    </row>
    <row r="402">
      <c r="A402" s="3" t="inlineStr">
        <is>
          <t>KPE 60/A</t>
        </is>
      </c>
      <c r="B402" s="2" t="inlineStr">
        <is>
          <t>Hliníkový tukový filter HURRICANE a TORNADO</t>
        </is>
      </c>
      <c r="C402" s="1" t="n">
        <v>6.39</v>
      </c>
      <c r="D402" s="7" t="n">
        <f>HYPERLINK("https://www.somogyi.sk/product/hlinikovy-tukovy-filter-hurricane-a-tornado-kpe-60-a-18156","https://www.somogyi.sk/product/hlinikovy-tukovy-filter-hurricane-a-tornado-kpe-60-a-18156")</f>
        <v>0.0</v>
      </c>
      <c r="E402" s="7" t="n">
        <f>HYPERLINK("https://www.somogyi.sk/data/img/product_main_images/small/18156.jpg","https://www.somogyi.sk/data/img/product_main_images/small/18156.jpg")</f>
        <v>0.0</v>
      </c>
      <c r="F402" s="2" t="inlineStr">
        <is>
          <t>5999084961787</t>
        </is>
      </c>
      <c r="G402" s="4" t="inlineStr">
        <is>
          <t>Umývateľný 3-vrstvový tukový filter KPE 60/A s hliníkovou mriežkou sa dokonale hodí pre všetky naše odsávače pár radu HURRICANE a TORNADO.</t>
        </is>
      </c>
    </row>
    <row r="403">
      <c r="A403" s="3" t="inlineStr">
        <is>
          <t>KPE 6020S</t>
        </is>
      </c>
      <c r="B403" s="2" t="inlineStr">
        <is>
          <t>Kuchynský odsávač pár TORNADO 60 cm, nerez</t>
        </is>
      </c>
      <c r="C403" s="1" t="n">
        <v>79.79</v>
      </c>
      <c r="D403" s="7" t="n">
        <f>HYPERLINK("https://www.somogyi.sk/product/kuchynsky-odsavac-par-tornado-60-cm-nerez-kpe-6020s-18152","https://www.somogyi.sk/product/kuchynsky-odsavac-par-tornado-60-cm-nerez-kpe-6020s-18152")</f>
        <v>0.0</v>
      </c>
      <c r="E403" s="7" t="n">
        <f>HYPERLINK("https://www.somogyi.sk/data/img/product_main_images/small/18152.jpg","https://www.somogyi.sk/data/img/product_main_images/small/18152.jpg")</f>
        <v>0.0</v>
      </c>
      <c r="F403" s="2" t="inlineStr">
        <is>
          <t>5999084961749</t>
        </is>
      </c>
      <c r="G403" s="4" t="inlineStr">
        <is>
          <t>KPE 6020S z nášho radu kuchynských odsávačov pár TORNADO je dokonalou kombináciou moderného dizajnu a efektívnej prevádzky. Telo z nehrdzavejúcej ocele dodá vašej kuchyni výnimočný vzhľad. Výrobok sa ľahko ovláda pomocou tlačidiel. Prúd vzduchu možno regulovať v 3 rýchlostiach v režime odsávania alebo recirkulácie. 
Tento odsávač pár je špeciálne navrhnutý na domáce použitie a ponúka celý rad praktických funkcií. Spotrebič sa dodáva s umývateľným 3-vrstvovým hliníkovým sieťovým  tukovým filtrom a 2-dielnou súpravou uhlíkových filtrov, ktoré prispievajú k účinnej filtrácii vzduchu a príjemnej atmosfére v kuchyni. 
Výrobok má šírku 60 cm a dosahuje prietok vzduchu až 200 m3/h, čím zabezpečuje účinné odsávanie pár aj počas intenzívnej kuchynskej činnosti. Pri správnej inštalácii odsávača pár je dôležité vyhľadať pomoc odborníka, aby sa zaručila bezpečná a optimálna prevádzka. 
S odsávačom pár KPE 6020S bude vaša kuchyňa čistá a vetraná!</t>
        </is>
      </c>
    </row>
    <row r="404">
      <c r="A404" s="3" t="inlineStr">
        <is>
          <t>KPE 6020B</t>
        </is>
      </c>
      <c r="B404" s="2" t="inlineStr">
        <is>
          <t>Kuchynský odsávač pár TORNADO 60 cm, čierny</t>
        </is>
      </c>
      <c r="C404" s="1" t="n">
        <v>69.79</v>
      </c>
      <c r="D404" s="7" t="n">
        <f>HYPERLINK("https://www.somogyi.sk/product/kuchynsky-odsavac-par-tornado-60-cm-cierny-kpe-6020b-18154","https://www.somogyi.sk/product/kuchynsky-odsavac-par-tornado-60-cm-cierny-kpe-6020b-18154")</f>
        <v>0.0</v>
      </c>
      <c r="E404" s="7" t="n">
        <f>HYPERLINK("https://www.somogyi.sk/data/img/product_main_images/small/18154.jpg","https://www.somogyi.sk/data/img/product_main_images/small/18154.jpg")</f>
        <v>0.0</v>
      </c>
      <c r="F404" s="2" t="inlineStr">
        <is>
          <t>5999084961763</t>
        </is>
      </c>
      <c r="G404" s="4" t="inlineStr">
        <is>
          <t>KPE 6020B z nášho radu kuchynských odsávačov pár TORNADO je dokonalou kombináciou moderného dizajnu a efektívnej prevádzky. Čierne lakované telo z oceľového plechu dodá vašej kuchyni výnimočný vzhľad. Výrobok sa ľahko ovláda pomocou tlačidiel. Prúd vzduchu je možné regulovať v 3 rýchlostiach v režime odsávania alebo cirkulácie vzduchu. 
Tento odsávač pár je špeciálne navrhnutý na domáce použitie a ponúka celý rad praktických funkcií. Spotrebič sa dodáva s umývateľným 3-vrstvovým hliníkovým sieťovým  tukovým filtrom a 2-dielnou súpravou uhlíkových filtrov, ktoré prispievajú k účinnej filtrácii vzduchu a príjemnej atmosfére v kuchyni. 
Výrobok má šírku 60 cm a dosahuje prietok vzduchu až 200 m3/h, čím zabezpečuje účinné odsávanie pár aj počas intenzívnej kuchynskej činnosti. Pri správnej inštalácii odsávača pár je dôležité vyhľadať pomoc odborníka, aby sa zaručila bezpečná a optimálna prevádzka. 
S odsávačom pár KPE 6020B bude vaša kuchyňa čistá a vetraná!</t>
        </is>
      </c>
    </row>
    <row r="405">
      <c r="A405" s="3" t="inlineStr">
        <is>
          <t>KPE 6044B</t>
        </is>
      </c>
      <c r="B405" s="2" t="inlineStr">
        <is>
          <t>Kuchynský odsávač pár TWISTER 60 cm, čierny</t>
        </is>
      </c>
      <c r="C405" s="1" t="n">
        <v>85.49</v>
      </c>
      <c r="D405" s="7" t="n">
        <f>HYPERLINK("https://www.somogyi.sk/product/kuchynsky-odsavac-par-twister-60-cm-cierny-kpe-6044b-18145","https://www.somogyi.sk/product/kuchynsky-odsavac-par-twister-60-cm-cierny-kpe-6044b-18145")</f>
        <v>0.0</v>
      </c>
      <c r="E405" s="7" t="n">
        <f>HYPERLINK("https://www.somogyi.sk/data/img/product_main_images/small/18145.jpg","https://www.somogyi.sk/data/img/product_main_images/small/18145.jpg")</f>
        <v>0.0</v>
      </c>
      <c r="F405" s="2" t="inlineStr">
        <is>
          <t>5999084961671</t>
        </is>
      </c>
      <c r="G405" s="4" t="inlineStr">
        <is>
          <t>KPE 6044B z nášho sortimentu kuchynských odsávačov pár TWISTER je dokonalou kombináciou moderného dizajnu a efektívnej prevádzky. Čierna farba dodá vašej kuchyni výnimočný vzhľad. 
Výrobok sa ľahko ovláda pomocou kolískových spínačov. Prúd vzduchu možno regulovať v 2 rýchlostiach v režime odsávania alebo recirkulácie. Tento odsávač pár je špeciálne navrhnutý na domáce použitie a ponúka celý rad praktických funkcií. Dodáva sa s umývateľným 4-vrstvovým hliníkovým sieťovým tukovým filtrom a 2-dielnou súpravou uhlíkových filtrov, ktoré prispievajú k účinnej filtrácii vzduchu a príjemnej atmosfére v kuchyni. 
Výrobok má šírku 60 cm a dosahuje prietok vzduchu až 440 m3/h, čím zabezpečuje účinné odsávanie pár aj počas intenzívnej kuchynskej činnosti. Pri správnej inštalácii odsávača pár je dôležité vyhľadať pomoc odborníka, aby sa zaručila bezpečná a optimálna prevádzka. 
S odsávačom pár KPE 6044B bude vaša kuchyňa čistá a vetraná!</t>
        </is>
      </c>
    </row>
    <row r="406">
      <c r="A406" s="3" t="inlineStr">
        <is>
          <t>KPE 6038S</t>
        </is>
      </c>
      <c r="B406" s="2" t="inlineStr">
        <is>
          <t>Kuchynský odsávač pár HURRICANE 60 cm, 2 motory, nerez</t>
        </is>
      </c>
      <c r="C406" s="1" t="n">
        <v>119.9</v>
      </c>
      <c r="D406" s="7" t="n">
        <f>HYPERLINK("https://www.somogyi.sk/product/kuchynsky-odsavac-par-hurricane-60-cm-2-motory-nerez-kpe-6038s-18148","https://www.somogyi.sk/product/kuchynsky-odsavac-par-hurricane-60-cm-2-motory-nerez-kpe-6038s-18148")</f>
        <v>0.0</v>
      </c>
      <c r="E406" s="7" t="n">
        <f>HYPERLINK("https://www.somogyi.sk/data/img/product_main_images/small/18148.jpg","https://www.somogyi.sk/data/img/product_main_images/small/18148.jpg")</f>
        <v>0.0</v>
      </c>
      <c r="F406" s="2" t="inlineStr">
        <is>
          <t>5999084961701</t>
        </is>
      </c>
      <c r="G406" s="4" t="inlineStr">
        <is>
          <t>Náš dvojmotorový kuchynský odsávač pár HURRICANE KPE 6038S je dokonalou kombináciou moderného dizajnu a efektívnej prevádzky. Panelové telo z nehrdzavejúcej ocele dodá vašej kuchyni výnimočný vzhľad. Výrobok sa jednoducho ovláda pomocou tlačidiel. Prúd vzduchu možno regulovať v 3 rýchlostiach v režime odsávania alebo recirkulácie. 
Tento odsávač pár je špeciálne navrhnutý na domáce použitie a ponúka celý rad praktických funkcií. Spotrebič sa dodáva s umývateľným 3-vrstvovým hliníkovým sieťovým tukovým filtrom a 2-dielnou súpravou uhlíkových filtrov, ktoré prispievajú k účinnej filtrácii vzduchu a príjemnej atmosfére v kuchyni. 
Výrobok má šírku 60 cm a dosahuje prietok vzduchu až 380 m3/h, čím zabezpečuje účinné odsávanie pár aj počas intenzívnej kuchynskej činnosti. Pri správnej inštalácii odsávača pár je dôležité vyhľadať pomoc odborníka, aby sa zaručila bezpečná a optimálna prevádzka. 
S odsávačom pár KPE 6038S bude vaša kuchyňa čistá a vetraná!</t>
        </is>
      </c>
    </row>
    <row r="407">
      <c r="A407" s="3" t="inlineStr">
        <is>
          <t>KPE 6044S</t>
        </is>
      </c>
      <c r="B407" s="2" t="inlineStr">
        <is>
          <t>Kuchynský odsávač pár TWISTER 60 cm, nerez</t>
        </is>
      </c>
      <c r="C407" s="1" t="n">
        <v>90.69</v>
      </c>
      <c r="D407" s="7" t="n">
        <f>HYPERLINK("https://www.somogyi.sk/product/kuchynsky-odsavac-par-twister-60-cm-nerez-kpe-6044s-18144","https://www.somogyi.sk/product/kuchynsky-odsavac-par-twister-60-cm-nerez-kpe-6044s-18144")</f>
        <v>0.0</v>
      </c>
      <c r="E407" s="7" t="n">
        <f>HYPERLINK("https://www.somogyi.sk/data/img/product_main_images/small/18144.jpg","https://www.somogyi.sk/data/img/product_main_images/small/18144.jpg")</f>
        <v>0.0</v>
      </c>
      <c r="F407" s="2" t="inlineStr">
        <is>
          <t>5999084961664</t>
        </is>
      </c>
      <c r="G407" s="4" t="inlineStr">
        <is>
          <t>Model KPE 6044S z nášho sortimentu kuchynských odsávačov pár TWISTER je dokonalou kombináciou moderného dizajnu a efektívnej prevádzky. Panel z nehrdzavejúcej ocele a sivé telo dodajú vašej kuchyni výrazný vzhľad. Výrobok sa ľahko ovláda pomocou kolískových spínačov. 
Prúd vzduchu možno regulovať v 2 rýchlostiach v režime odsávania alebo recirkulácie. Tento odsávač pár je špeciálne navrhnutý na domáce použitie a ponúka celý rad praktických funkcií. Dodáva sa s umývateľným 4-vrstvovým hliníkovým sieťovým tukovým filtrom a 2-dielnou súpravou uhlíkových filtrov, ktoré prispievajú k účinnej filtrácii vzduchu a príjemnej atmosfére v kuchyni. 
Výrobok má šírku 60 cm a dosahuje prietok vzduchu až 440 m3/h, čím zabezpečuje účinné odsávanie pár aj počas intenzívnej kuchynskej činnosti. Pri správnej inštalácii odsávača pár je dôležité vyhľadať pomoc odborníka, aby sa zaručila bezpečná a optimálna prevádzka. 
S odsávačom pár KPE 6044S bude vaša kuchyňa čistá a vetraná!</t>
        </is>
      </c>
    </row>
    <row r="408">
      <c r="A408" s="3" t="inlineStr">
        <is>
          <t>KPE 6038B</t>
        </is>
      </c>
      <c r="B408" s="2" t="inlineStr">
        <is>
          <t>Kuchynský odsávač pár HURRICANE 60 cm, 2 motory, čierny</t>
        </is>
      </c>
      <c r="C408" s="1" t="n">
        <v>114.9</v>
      </c>
      <c r="D408" s="7" t="n">
        <f>HYPERLINK("https://www.somogyi.sk/product/kuchynsky-odsavac-par-hurricane-60-cm-2-motory-cierny-kpe-6038b-18150","https://www.somogyi.sk/product/kuchynsky-odsavac-par-hurricane-60-cm-2-motory-cierny-kpe-6038b-18150")</f>
        <v>0.0</v>
      </c>
      <c r="E408" s="7" t="n">
        <f>HYPERLINK("https://www.somogyi.sk/data/img/product_main_images/small/18150.jpg","https://www.somogyi.sk/data/img/product_main_images/small/18150.jpg")</f>
        <v>0.0</v>
      </c>
      <c r="F408" s="2" t="inlineStr">
        <is>
          <t>5999084961725</t>
        </is>
      </c>
      <c r="G408" s="4" t="inlineStr">
        <is>
          <t>Náš dvojmotorový kuchynský odsávač pár HURRICANE KPE 6038B je dokonalou kombináciou moderného dizajnu a efektívnej prevádzky. Čierne lakované telo z oceľového plechu dodá vašej kuchyni výnimočný vzhľad. Výrobok sa ľahko ovláda pomocou tlačidiel. Prúd vzduchu možno regulovať v 3 rýchlostiach v režime odsávania alebo cirkulácie vzduchu. 
Tento odsávač pár je špeciálne navrhnutý na domáce použitie a ponúka celý rad praktických funkcií. Spotrebič sa dodáva s umývateľným 3-vrstvovým hliníkovým sieťovým  tukovým filtrom a 2-dielnou súpravou uhlíkových filtrov, ktoré prispievajú k účinnej filtrácii vzduchu a príjemnej atmosfére v kuchyni. 
Výrobok má šírku 60 cm a dosahuje prietok vzduchu až 380 m3/h, čím zabezpečuje účinné odsávanie pár aj počas intenzívnej kuchynskej činnosti. Pri správnej inštalácii odsávača pár je dôležité vyhľadať pomoc odborníka, aby sa zaručila bezpečná a optimálna prevádzka. 
S odsávačom pár KPE 6038B bude vaša kuchyňa čistá a vetraná!</t>
        </is>
      </c>
    </row>
    <row r="409">
      <c r="A409" s="3" t="inlineStr">
        <is>
          <t>KPE 5019S</t>
        </is>
      </c>
      <c r="B409" s="2" t="inlineStr">
        <is>
          <t>Kuchynský odsávač pár STORM 50 cm, nerez</t>
        </is>
      </c>
      <c r="C409" s="1" t="n">
        <v>74.39</v>
      </c>
      <c r="D409" s="7" t="n">
        <f>HYPERLINK("https://www.somogyi.sk/product/kuchynsky-odsavac-par-storm-50-cm-nerez-kpe-5019s-18157","https://www.somogyi.sk/product/kuchynsky-odsavac-par-storm-50-cm-nerez-kpe-5019s-18157")</f>
        <v>0.0</v>
      </c>
      <c r="E409" s="7" t="n">
        <f>HYPERLINK("https://www.somogyi.sk/data/img/product_main_images/small/18157.jpg","https://www.somogyi.sk/data/img/product_main_images/small/18157.jpg")</f>
        <v>0.0</v>
      </c>
      <c r="F409" s="2" t="inlineStr">
        <is>
          <t>5999084961794</t>
        </is>
      </c>
      <c r="G409" s="4" t="inlineStr">
        <is>
          <t>Model KPE 5019S z nášho radu kuchynských odsávačov pár STORM je dokonalou kombináciou moderného dizajnu a efektívnej prevádzky. Telo z nehrdzavejúcej ocele dodá vašej kuchyni výnimočný vzhľad. Výrobok sa ľahko ovláda pomocou tlačidiel. Prúd vzduchu je možné regulovať v 3 rýchlostiach v režime odsávania alebo cirkulácie vzduchu. 
Tento odsávač pár je špeciálne navrhnutý na domáce použitie a ponúka celý rad praktických funkcií. Dodáva sa s umývateľným 3-vrstvovým hliníkovým sieťovým tukovým filtrom, ktorý prispieva k účinnej filtrácii vzduchu a príjemnej atmosfére v kuchyni. Výrobok má šírku 50 cm a dosahuje prietok vzduchu až 190 m3/h, čím zabezpečuje účinné odsávanie pár aj počas intenzívnych kuchárskych činností. 
Pre správnu inštaláciu odsávača pár je dôležité vyhľadať pomoc odborníka, aby sa zaručila bezpečná a optimálna prevádzka. 
S odsávačom pár KPE 5019S bude vaša kuchyňa čistá a vetraná!</t>
        </is>
      </c>
    </row>
    <row r="410">
      <c r="A410" s="3" t="inlineStr">
        <is>
          <t>KPE 6044/C</t>
        </is>
      </c>
      <c r="B410" s="2" t="inlineStr">
        <is>
          <t>Sada filtrov s aktívnym uhlím (2 ks) pre odsávače pár TWISTER</t>
        </is>
      </c>
      <c r="C410" s="1" t="n">
        <v>5.89</v>
      </c>
      <c r="D410" s="7" t="n">
        <f>HYPERLINK("https://www.somogyi.sk/product/sada-filtrov-s-aktivnym-uhlim-2-ks-pre-odsavace-par-twister-kpe-6044-c-18146","https://www.somogyi.sk/product/sada-filtrov-s-aktivnym-uhlim-2-ks-pre-odsavace-par-twister-kpe-6044-c-18146")</f>
        <v>0.0</v>
      </c>
      <c r="E410" s="7" t="n">
        <f>HYPERLINK("https://www.somogyi.sk/data/img/product_main_images/small/18146.jpg","https://www.somogyi.sk/data/img/product_main_images/small/18146.jpg")</f>
        <v>0.0</v>
      </c>
      <c r="F410" s="2" t="inlineStr">
        <is>
          <t>5999084961688</t>
        </is>
      </c>
      <c r="G410" s="4" t="inlineStr">
        <is>
          <t>Súprava filtrov s aktívnym uhlím KPE 6044/C (2 kusy) sa dokonale hodí ku všetkým členom našej rodiny odsávačov pár TWISTER.</t>
        </is>
      </c>
    </row>
    <row r="411">
      <c r="A411" s="3" t="inlineStr">
        <is>
          <t>KPE 5019/A</t>
        </is>
      </c>
      <c r="B411" s="2" t="inlineStr">
        <is>
          <t>Hliníkový tukový filter pre odsávače pár radu STORM</t>
        </is>
      </c>
      <c r="C411" s="1" t="n">
        <v>6.09</v>
      </c>
      <c r="D411" s="7" t="n">
        <f>HYPERLINK("https://www.somogyi.sk/product/hlinikovy-tukovy-filter-pre-odsavace-par-radu-storm-kpe-5019-a-18161","https://www.somogyi.sk/product/hlinikovy-tukovy-filter-pre-odsavace-par-radu-storm-kpe-5019-a-18161")</f>
        <v>0.0</v>
      </c>
      <c r="E411" s="7" t="n">
        <f>HYPERLINK("https://www.somogyi.sk/data/img/product_main_images/small/18161.jpg","https://www.somogyi.sk/data/img/product_main_images/small/18161.jpg")</f>
        <v>0.0</v>
      </c>
      <c r="F411" s="2" t="inlineStr">
        <is>
          <t>5999084961831</t>
        </is>
      </c>
      <c r="G411" s="4" t="inlineStr">
        <is>
          <t>KPE 5019/A umývateľný 3-vrstvový filter z hliníkovej sieťoviny  sa dokonale hodí ku všetkým kuchynským odsávačom pár radu STORM.</t>
        </is>
      </c>
    </row>
    <row r="412">
      <c r="A412" s="3" t="inlineStr">
        <is>
          <t>KPE 6090/C</t>
        </is>
      </c>
      <c r="B412" s="2" t="inlineStr">
        <is>
          <t>Sada filtrov s aktívnym uhlím (2 ks) pre odsávače pár CYCLONE</t>
        </is>
      </c>
      <c r="C412" s="1" t="n">
        <v>5.89</v>
      </c>
      <c r="D412" s="7" t="n">
        <f>HYPERLINK("https://www.somogyi.sk/product/sada-filtrov-s-aktivnym-uhlim-2-ks-pre-odsavace-par-cyclone-kpe-6090-c-18142","https://www.somogyi.sk/product/sada-filtrov-s-aktivnym-uhlim-2-ks-pre-odsavace-par-cyclone-kpe-6090-c-18142")</f>
        <v>0.0</v>
      </c>
      <c r="E412" s="7" t="n">
        <f>HYPERLINK("https://www.somogyi.sk/data/img/product_main_images/small/18142.jpg","https://www.somogyi.sk/data/img/product_main_images/small/18142.jpg")</f>
        <v>0.0</v>
      </c>
      <c r="F412" s="2" t="inlineStr">
        <is>
          <t>5999084961640</t>
        </is>
      </c>
      <c r="G412" s="4" t="inlineStr">
        <is>
          <t>Sada filtrov s aktívnym uhlím KPE 6090/C (2 ks) sa dokonale hodí pre všetky naše odsávače pár radu CYCLONE.</t>
        </is>
      </c>
    </row>
    <row r="413">
      <c r="A413" s="3" t="inlineStr">
        <is>
          <t>KPE 5019B</t>
        </is>
      </c>
      <c r="B413" s="2" t="inlineStr">
        <is>
          <t>Kuchynský odsávač pár STORM 50 cm, čierny</t>
        </is>
      </c>
      <c r="C413" s="1" t="n">
        <v>69.59</v>
      </c>
      <c r="D413" s="7" t="n">
        <f>HYPERLINK("https://www.somogyi.sk/product/kuchynsky-odsavac-par-storm-50-cm-cierny-kpe-5019b-18159","https://www.somogyi.sk/product/kuchynsky-odsavac-par-storm-50-cm-cierny-kpe-5019b-18159")</f>
        <v>0.0</v>
      </c>
      <c r="E413" s="7" t="n">
        <f>HYPERLINK("https://www.somogyi.sk/data/img/product_main_images/small/18159.jpg","https://www.somogyi.sk/data/img/product_main_images/small/18159.jpg")</f>
        <v>0.0</v>
      </c>
      <c r="F413" s="2" t="inlineStr">
        <is>
          <t>5999084961817</t>
        </is>
      </c>
      <c r="G413" s="4" t="inlineStr">
        <is>
          <t>KPE 5019B z nášho radu kuchynských odsávačov pár STORM je dokonalou kombináciou moderného dizajnu a efektívnej prevádzky. Čierne lakované telo z oceľového plechu dodá vašej kuchyni výnimočný vzhľad. Výrobok sa ľahko ovláda pomocou tlačidiel. Prúd vzduchu je možné regulovať v 3 rýchlostiach v režime odsávania alebo cirkulácie vzduchu. 
Tento odsávač pár je špeciálne navrhnutý na domáce použitie a ponúka celý rad praktických funkcií. Dodáva sa s umývateľným 3-vrstvovým hliníkovým sieťovým  tukovým filtrom, ktorý prispieva k účinnej filtrácii vzduchu a príjemnej atmosfére v kuchyni. Výrobok má šírku 50 cm a dosahuje prietok vzduchu až 190 m3/h, čím zabezpečuje účinné odsávanie pár aj počas intenzívnych kuchárskych činností. 
Pre správnu inštaláciu odsávača pár je dôležité vyhľadať pomoc odborníka, aby sa zaručila bezpečná a optimálna prevádzka. 
S odsávačom pár KPE 5019B bude vaša kuchyňa čistá a vetraná!</t>
        </is>
      </c>
    </row>
    <row r="414">
      <c r="A414" s="3" t="inlineStr">
        <is>
          <t>KPE 5019W</t>
        </is>
      </c>
      <c r="B414" s="2" t="inlineStr">
        <is>
          <t>Kuchynský odsávač pár STORM 50 cm, biely</t>
        </is>
      </c>
      <c r="C414" s="1" t="n">
        <v>69.69</v>
      </c>
      <c r="D414" s="7" t="n">
        <f>HYPERLINK("https://www.somogyi.sk/product/kuchynsky-odsavac-par-storm-50-cm-biely-kpe-5019w-18158","https://www.somogyi.sk/product/kuchynsky-odsavac-par-storm-50-cm-biely-kpe-5019w-18158")</f>
        <v>0.0</v>
      </c>
      <c r="E414" s="7" t="n">
        <f>HYPERLINK("https://www.somogyi.sk/data/img/product_main_images/small/18158.jpg","https://www.somogyi.sk/data/img/product_main_images/small/18158.jpg")</f>
        <v>0.0</v>
      </c>
      <c r="F414" s="2" t="inlineStr">
        <is>
          <t>5999084961800</t>
        </is>
      </c>
      <c r="G414" s="4" t="inlineStr">
        <is>
          <t>KPE 5019W z nášho radu kuchynských odsávačov pár STORM je dokonalou kombináciou moderného dizajnu a efektívnej prevádzky. Biele lakované telo z oceľového plechu dodá vašej kuchyni výnimočný vzhľad. Výrobok sa ľahko ovláda pomocou tlačidiel. Prúd vzduchu je možné regulovať v 3 rýchlostiach v režime odsávania alebo cirkulácie vzduchu. Tento odsávač pár je špeciálne navrhnutý na domáce použitie a ponúka celý rad praktických funkcií. Dodáva sa s umývateľným 3-vrstvovým hliníkovým sieťovým filtrom proti mastnotám, ktorý prispieva k účinnej filtrácii vzduchu a príjemnej atmosfére v kuchyni. Výrobok má šírku 50 cm a dosahuje prietok vzduchu až 190 m3/h, čím zabezpečuje účinné odsávanie pár aj počas intenzívnych kuchárskych činností. Pre správnu inštaláciu odsávača pár je dôležité vyhľadať pomoc odborníka, aby sa zaručila bezpečná a optimálna prevádzka. S odsávačom pár KPE 5019W bude vaša kuchyňa čistá a vetraná!</t>
        </is>
      </c>
    </row>
    <row r="415">
      <c r="A415" s="3" t="inlineStr">
        <is>
          <t>KPE 6020/C</t>
        </is>
      </c>
      <c r="B415" s="2" t="inlineStr">
        <is>
          <t>Filter s aktívnym uhlím (1 kus) pre odsávače pár TORNADO</t>
        </is>
      </c>
      <c r="C415" s="1" t="n">
        <v>2.99</v>
      </c>
      <c r="D415" s="7" t="n">
        <f>HYPERLINK("https://www.somogyi.sk/product/filter-s-aktivnym-uhlim-1-kus-pre-odsavace-par-tornado-kpe-6020-c-18155","https://www.somogyi.sk/product/filter-s-aktivnym-uhlim-1-kus-pre-odsavace-par-tornado-kpe-6020-c-18155")</f>
        <v>0.0</v>
      </c>
      <c r="E415" s="7" t="n">
        <f>HYPERLINK("https://www.somogyi.sk/data/img/product_main_images/small/18155.jpg","https://www.somogyi.sk/data/img/product_main_images/small/18155.jpg")</f>
        <v>0.0</v>
      </c>
      <c r="F415" s="2" t="inlineStr">
        <is>
          <t>5999084961770</t>
        </is>
      </c>
      <c r="G415" s="4" t="inlineStr">
        <is>
          <t>Filter s aktívnym uhlím KPE 6020/C (1 kus) sa dokonale hodí pre všetky naše odsávače pár radu TORNADO.</t>
        </is>
      </c>
    </row>
    <row r="416">
      <c r="A416" s="3" t="inlineStr">
        <is>
          <t>KPE 6038/C</t>
        </is>
      </c>
      <c r="B416" s="2" t="inlineStr">
        <is>
          <t>Sada filtrov s aktívnym uhlím (sada 2 ks) pre odsávače pár HURRICANE</t>
        </is>
      </c>
      <c r="C416" s="1" t="n">
        <v>6.09</v>
      </c>
      <c r="D416" s="7" t="n">
        <f>HYPERLINK("https://www.somogyi.sk/product/sada-filtrov-s-aktivnym-uhlim-sada-2-ks-pre-odsavace-par-hurricane-kpe-6038-c-18151","https://www.somogyi.sk/product/sada-filtrov-s-aktivnym-uhlim-sada-2-ks-pre-odsavace-par-hurricane-kpe-6038-c-18151")</f>
        <v>0.0</v>
      </c>
      <c r="E416" s="7" t="n">
        <f>HYPERLINK("https://www.somogyi.sk/data/img/product_main_images/small/18151.jpg","https://www.somogyi.sk/data/img/product_main_images/small/18151.jpg")</f>
        <v>0.0</v>
      </c>
      <c r="F416" s="2" t="inlineStr">
        <is>
          <t>5999084961732</t>
        </is>
      </c>
      <c r="G416" s="4" t="inlineStr">
        <is>
          <t>Sada filtrov s aktívnym uhlím KPE 6038/C (2 ks) sa dokonale hodí pre všetky naše odsávače pár radu HURRICANE.</t>
        </is>
      </c>
    </row>
    <row r="417">
      <c r="A417" s="3" t="inlineStr">
        <is>
          <t>KPE 6039G</t>
        </is>
      </c>
      <c r="B417" s="2" t="inlineStr">
        <is>
          <t>Kuchynský odsávač pár CYCLONE 60 cm, čierne sklo</t>
        </is>
      </c>
      <c r="C417" s="1" t="n">
        <v>144.9</v>
      </c>
      <c r="D417" s="7" t="n">
        <f>HYPERLINK("https://www.somogyi.sk/product/kuchynsky-odsavac-par-cyclone-60-cm-cierne-sklo-kpe-6039g-18140","https://www.somogyi.sk/product/kuchynsky-odsavac-par-cyclone-60-cm-cierne-sklo-kpe-6039g-18140")</f>
        <v>0.0</v>
      </c>
      <c r="E417" s="7" t="n">
        <f>HYPERLINK("https://www.somogyi.sk/data/img/product_main_images/small/18140.jpg","https://www.somogyi.sk/data/img/product_main_images/small/18140.jpg")</f>
        <v>0.0</v>
      </c>
      <c r="F417" s="2" t="inlineStr">
        <is>
          <t>5999084961626</t>
        </is>
      </c>
      <c r="G417" s="4" t="inlineStr">
        <is>
          <t>Model KPE 6039G z nášho sortimentu kuchynských odsávačov pár CYCLONE je dokonalou kombináciou moderného dizajnu a efektívnej prevádzky. Vďaka čiernemu oceľovému SPCC a elegantnému čiernemu sklenenému krytu dodá KPE 6039G vašej kuchyni výrazný vzhľad. 
Výrobok sa dá jednoducho ovládať dotykom alebo aj pohybom ruky. Prúd vzduchu možno regulovať v 3 rôznych nastaveniach rýchlosti v režime odsávania vzduchu alebo cirkulácie. Tento odsávač pár je špeciálne navrhnutý na domáce použitie a ponúka množstvo praktických funkcií. Súčasťou spotrebiča je aj umývateľný 5-vrstvový hliníkový sieťový tukový filter a dva uhlíkové filtre, ktoré prispievajú k účinnej filtrácii vzduchu a príjemnej atmosfére v kuchyni. 
Výrobok má šírku 60 cm a dosahuje prietok vzduchu až 390 m3/h, čím zabezpečuje účinné odsávanie pár aj počas intenzívnej kuchynskej činnosti. Pre správnu inštaláciu odsávača pár je dôležité vyhľadať pomoc odborníka, aby sa zaručila bezpečná a optimálna prevádzka. 
S odsávačom pár KPE 6039G bude vaša kuchyňa čistá a vetraná!</t>
        </is>
      </c>
    </row>
    <row r="418">
      <c r="A418" s="3" t="inlineStr">
        <is>
          <t>KPE 9039G</t>
        </is>
      </c>
      <c r="B418" s="2" t="inlineStr">
        <is>
          <t>Kuchynský odsávač pár CYCLONE 90 cm, čierne sklo</t>
        </is>
      </c>
      <c r="C418" s="1" t="n">
        <v>144.9</v>
      </c>
      <c r="D418" s="7" t="n">
        <f>HYPERLINK("https://www.somogyi.sk/product/kuchynsky-odsavac-par-cyclone-90-cm-cierne-sklo-kpe-9039g-18141","https://www.somogyi.sk/product/kuchynsky-odsavac-par-cyclone-90-cm-cierne-sklo-kpe-9039g-18141")</f>
        <v>0.0</v>
      </c>
      <c r="E418" s="7" t="n">
        <f>HYPERLINK("https://www.somogyi.sk/data/img/product_main_images/small/18141.jpg","https://www.somogyi.sk/data/img/product_main_images/small/18141.jpg")</f>
        <v>0.0</v>
      </c>
      <c r="F418" s="2" t="inlineStr">
        <is>
          <t>5999084961633</t>
        </is>
      </c>
      <c r="G418" s="4" t="inlineStr">
        <is>
          <t>Model KPE 9039G z nášho sortimentu kuchynských odsávačov pár CYCLONE je dokonalou kombináciou moderného dizajnu a efektívnej prevádzky. Vďaka čiernemu oceľovému SPCC a elegantnému čiernemu sklenenému krytu dodá KPE 9039G vašej kuchyni výrazný vzhľad. Výrobok sa dá jednoducho ovládať dotykom alebo aj pohybom ruky. 
Prúd vzduchu možno regulovať v 3 rôznych nastaveniach rýchlosti v režime odsávania vzduchu alebo cirkulácie. Tento odsávač pár je špeciálne navrhnutý na domáce použitie a ponúka množstvo praktických funkcií. 
Súčasťou spotrebiča je aj umývateľný 5-vrstvový hliníkový sieťový tukový filter a dva uhlíkové filtre, ktoré prispievajú k účinnej filtrácii vzduchu a príjemnej atmosfére v kuchyni. Výrobok má šírku 90 cm a dosahuje prietok vzduchu až 390 m3/h, čím zabezpečuje účinné odsávanie pár aj počas intenzívnej kuchynskej činnosti. 
Pre správnu inštaláciu odsávača pár je dôležité vyhľadať pomoc odborníka, aby sa zaručila bezpečná a optimálna prevádzka. S odsávačom pár KPE 9039G bude vaša kuchyňa čistá a vetraná!</t>
        </is>
      </c>
    </row>
    <row r="419">
      <c r="A419" s="3" t="inlineStr">
        <is>
          <t>KPEHKIV</t>
        </is>
      </c>
      <c r="B419" s="2" t="inlineStr">
        <is>
          <t>Zadný vývod pre kuchynský digestor, pozinkované</t>
        </is>
      </c>
      <c r="C419" s="1" t="n">
        <v>31.09</v>
      </c>
      <c r="D419" s="7" t="n">
        <f>HYPERLINK("https://www.somogyi.sk/product/zadny-vyvod-pre-kuchynsky-digestor-pozinkovane-kpehkiv-18482","https://www.somogyi.sk/product/zadny-vyvod-pre-kuchynsky-digestor-pozinkovane-kpehkiv-18482")</f>
        <v>0.0</v>
      </c>
      <c r="E419" s="7" t="n">
        <f>HYPERLINK("https://www.somogyi.sk/data/img/product_main_images/small/18482.jpg","https://www.somogyi.sk/data/img/product_main_images/small/18482.jpg")</f>
        <v>0.0</v>
      </c>
      <c r="F419" s="2" t="inlineStr">
        <is>
          <t>5999084965006</t>
        </is>
      </c>
      <c r="G419" s="4" t="inlineStr">
        <is>
          <t xml:space="preserve"> • zadný vývod pre kuchynský digestor STORM a TORNADO, ktoré distribuuje Somogyi Elektronic 
 • valcová časť: Ø117 mm 
 • hranatá časť: 160 x 52 mm 
 • nosný panel: 188 x 160 mm</t>
        </is>
      </c>
    </row>
    <row r="420">
      <c r="A420" s="6" t="inlineStr">
        <is>
          <t xml:space="preserve">   Domáce spotrebiče / Plastové poháre</t>
        </is>
      </c>
      <c r="B420" s="6" t="inlineStr">
        <is>
          <t/>
        </is>
      </c>
      <c r="C420" s="6" t="inlineStr">
        <is>
          <t/>
        </is>
      </c>
      <c r="D420" s="6" t="inlineStr">
        <is>
          <t/>
        </is>
      </c>
      <c r="E420" s="6" t="inlineStr">
        <is>
          <t/>
        </is>
      </c>
      <c r="F420" s="6" t="inlineStr">
        <is>
          <t/>
        </is>
      </c>
      <c r="G420" s="6" t="inlineStr">
        <is>
          <t/>
        </is>
      </c>
    </row>
    <row r="421">
      <c r="A421" s="3" t="inlineStr">
        <is>
          <t>PHR Mojito32-4</t>
        </is>
      </c>
      <c r="B421" s="2" t="inlineStr">
        <is>
          <t>Nerozbitný kokteilový pohár, 4 ks/balenie</t>
        </is>
      </c>
      <c r="C421" s="1" t="n">
        <v>6.19</v>
      </c>
      <c r="D421" s="7" t="n">
        <f>HYPERLINK("https://www.somogyi.sk/product/nerozbitny-kokteilovy-pohar-4-ks-balenie-phr-mojito32-4-18168","https://www.somogyi.sk/product/nerozbitny-kokteilovy-pohar-4-ks-balenie-phr-mojito32-4-18168")</f>
        <v>0.0</v>
      </c>
      <c r="E421" s="7" t="n">
        <f>HYPERLINK("https://www.somogyi.sk/data/img/product_main_images/small/18168.jpg","https://www.somogyi.sk/data/img/product_main_images/small/18168.jpg")</f>
        <v>0.0</v>
      </c>
      <c r="F421" s="2" t="inlineStr">
        <is>
          <t>2221619000016</t>
        </is>
      </c>
      <c r="G421" s="4" t="inlineStr">
        <is>
          <t xml:space="preserve"> • materiál: plast (recyklovateľný) 
 • objem: 32 cl 
 • teplotný rozsah použitia: vhodný do mikrovlnky, mrazničky, dá sa gravírovať 
 • N/A: vhodný do umývačky riadu 
 • rozmery: 143 x 67 x 55 mm 
 • hmotnosť: 97 g 
 • balenie: 4 ks / balenie 
 • ďalšie informácie: exkluzívne prevedenie • potravinárska kvalita</t>
        </is>
      </c>
    </row>
    <row r="422">
      <c r="A422" s="3" t="inlineStr">
        <is>
          <t>PHR Stemless40B-4</t>
        </is>
      </c>
      <c r="B422" s="2" t="inlineStr">
        <is>
          <t>Nerozbitný veľký pohár na vodu, 4 ks/balenie</t>
        </is>
      </c>
      <c r="C422" s="1" t="n">
        <v>8.69</v>
      </c>
      <c r="D422" s="7" t="n">
        <f>HYPERLINK("https://www.somogyi.sk/product/nerozbitny-velky-pohar-na-vodu-4-ks-balenie-phr-stemless40b-4-18176","https://www.somogyi.sk/product/nerozbitny-velky-pohar-na-vodu-4-ks-balenie-phr-stemless40b-4-18176")</f>
        <v>0.0</v>
      </c>
      <c r="E422" s="7" t="n">
        <f>HYPERLINK("https://www.somogyi.sk/data/img/product_main_images/small/18176.jpg","https://www.somogyi.sk/data/img/product_main_images/small/18176.jpg")</f>
        <v>0.0</v>
      </c>
      <c r="F422" s="2" t="inlineStr">
        <is>
          <t>2221619800012</t>
        </is>
      </c>
      <c r="G422" s="4" t="inlineStr">
        <is>
          <t xml:space="preserve"> • materiál: plast (recyklovateľný) 
 • objem: 40 cl 
 • teplotný rozsah použitia: vhodný do mikrovlnky, mrazničky, dá sa gravírovať 
 • N/A: vhodný do umývačky riadu 
 • rozmery: 105 x 88 x 58 mm 
 • hmotnosť: 71 g 
 • balenie: 4 ks / balenie 
 • ďalšie informácie: exkluzívne prevedenie • potravinárska kvalita</t>
        </is>
      </c>
    </row>
    <row r="423">
      <c r="A423" s="3" t="inlineStr">
        <is>
          <t>PHR Coffe26-4</t>
        </is>
      </c>
      <c r="B423" s="2" t="inlineStr">
        <is>
          <t>Nerozbitný pohár na kávu, 4 ks / balenie</t>
        </is>
      </c>
      <c r="C423" s="1" t="n">
        <v>7.49</v>
      </c>
      <c r="D423" s="7" t="n">
        <f>HYPERLINK("https://www.somogyi.sk/product/nerozbitny-pohar-na-kavu-4-ks-balenie-phr-coffe26-4-18915","https://www.somogyi.sk/product/nerozbitny-pohar-na-kavu-4-ks-balenie-phr-coffe26-4-18915")</f>
        <v>0.0</v>
      </c>
      <c r="E423" s="7" t="n">
        <f>HYPERLINK("https://www.somogyi.sk/data/img/product_main_images/small/18915.jpg","https://www.somogyi.sk/data/img/product_main_images/small/18915.jpg")</f>
        <v>0.0</v>
      </c>
      <c r="F423" s="2" t="inlineStr">
        <is>
          <t>2221690900045</t>
        </is>
      </c>
      <c r="G423" s="4" t="inlineStr">
        <is>
          <t xml:space="preserve"> • objem: 26 cl 
 • z recyklovateľného materiálu 
 • potravinárska kvalita 
 • vhodný do mikrovlnky, mrazničky, umývačky riadu 
 • dá sa gravírovať 
 • exkluzívne prevedenie 
 • rozmery: 115 x 84 x 55 mm 
 • hmotnosť: 112 g 
 • 4 ks / balenie</t>
        </is>
      </c>
    </row>
    <row r="424">
      <c r="A424" s="3" t="inlineStr">
        <is>
          <t>PHR Reims17-6</t>
        </is>
      </c>
      <c r="B424" s="2" t="inlineStr">
        <is>
          <t>Nerozbitný pohár na šampanské, 6 ks/balenie</t>
        </is>
      </c>
      <c r="C424" s="1" t="n">
        <v>4.69</v>
      </c>
      <c r="D424" s="7" t="n">
        <f>HYPERLINK("https://www.somogyi.sk/product/nerozbitny-pohar-na-sampanske-6-ks-balenie-phr-reims17-6-18171","https://www.somogyi.sk/product/nerozbitny-pohar-na-sampanske-6-ks-balenie-phr-reims17-6-18171")</f>
        <v>0.0</v>
      </c>
      <c r="E424" s="7" t="n">
        <f>HYPERLINK("https://www.somogyi.sk/data/img/product_main_images/small/18171.jpg","https://www.somogyi.sk/data/img/product_main_images/small/18171.jpg")</f>
        <v>0.0</v>
      </c>
      <c r="F424" s="2" t="inlineStr">
        <is>
          <t>2221619300017</t>
        </is>
      </c>
      <c r="G424" s="4" t="inlineStr">
        <is>
          <t xml:space="preserve"> • materiál: plast (recyklovateľný) 
 • objem: 17 cl 
 • teplotný rozsah použitia: vhodný do mikrovlnky, mrazničky, dá sa gravírovať 
 • N/A: vhodný do umývačky riadu 
 • rozmery: 219 x 56 x 72 mm 
 • hmotnosť: 75 g 
 • balenie: 6 ks / balenie 
 • ďalšie informácie: exkluzívne prevedenie • potravinárska kvalita</t>
        </is>
      </c>
    </row>
    <row r="425">
      <c r="A425" s="3" t="inlineStr">
        <is>
          <t>PHR Tokaj38-4</t>
        </is>
      </c>
      <c r="B425" s="2" t="inlineStr">
        <is>
          <t>Nerozbitný veľký pohár na víno, 4 ks/balenie</t>
        </is>
      </c>
      <c r="C425" s="1" t="n">
        <v>10.59</v>
      </c>
      <c r="D425" s="7" t="n">
        <f>HYPERLINK("https://www.somogyi.sk/product/nerozbitny-velky-pohar-na-vino-4-ks-balenie-phr-tokaj38-4-18170","https://www.somogyi.sk/product/nerozbitny-velky-pohar-na-vino-4-ks-balenie-phr-tokaj38-4-18170")</f>
        <v>0.0</v>
      </c>
      <c r="E425" s="7" t="n">
        <f>HYPERLINK("https://www.somogyi.sk/data/img/product_main_images/small/18170.jpg","https://www.somogyi.sk/data/img/product_main_images/small/18170.jpg")</f>
        <v>0.0</v>
      </c>
      <c r="F425" s="2" t="inlineStr">
        <is>
          <t>2221619200010</t>
        </is>
      </c>
      <c r="G425" s="4" t="inlineStr">
        <is>
          <t xml:space="preserve"> • materiál: plast (recyklovateľný) 
 • objem: 38 cl 
 • teplotný rozsah použitia: vhodný do mikrovlnky, mrazničky, dá sa gravírovať 
 • N/A: vhodný do umývačky riadu 
 • rozmery: 219 x 60 x 78 mm 
 • hmotnosť: 97 g 
 • balenie: 4 ks / balenie 
 • ďalšie informácie: exkluzívne prevedenie • potravinárska kvalita</t>
        </is>
      </c>
    </row>
    <row r="426">
      <c r="A426" s="6" t="inlineStr">
        <is>
          <t xml:space="preserve">   Domáce spotrebiče / Elektrický ohrievač vody</t>
        </is>
      </c>
      <c r="B426" s="6" t="inlineStr">
        <is>
          <t/>
        </is>
      </c>
      <c r="C426" s="6" t="inlineStr">
        <is>
          <t/>
        </is>
      </c>
      <c r="D426" s="6" t="inlineStr">
        <is>
          <t/>
        </is>
      </c>
      <c r="E426" s="6" t="inlineStr">
        <is>
          <t/>
        </is>
      </c>
      <c r="F426" s="6" t="inlineStr">
        <is>
          <t/>
        </is>
      </c>
      <c r="G426" s="6" t="inlineStr">
        <is>
          <t/>
        </is>
      </c>
    </row>
    <row r="427">
      <c r="A427" s="3" t="inlineStr">
        <is>
          <t>17451000000202</t>
        </is>
      </c>
      <c r="B427" s="2" t="inlineStr">
        <is>
          <t>MIDEA horčíková anóda pre bojler D100-15FG, D80-15FG</t>
        </is>
      </c>
      <c r="C427" s="1" t="n">
        <v>4.99</v>
      </c>
      <c r="D427" s="7" t="n">
        <f>HYPERLINK("https://www.somogyi.sk/product/midea-horcikova-anoda-pre-bojler-d100-15fg-d80-15fg-17451000000202-18689","https://www.somogyi.sk/product/midea-horcikova-anoda-pre-bojler-d100-15fg-d80-15fg-17451000000202-18689")</f>
        <v>0.0</v>
      </c>
      <c r="E427" s="7" t="n">
        <f>HYPERLINK("https://www.somogyi.sk/data/img/product_main_images/small/18689.jpg","https://www.somogyi.sk/data/img/product_main_images/small/18689.jpg")</f>
        <v>0.0</v>
      </c>
      <c r="F427" s="2" t="inlineStr">
        <is>
          <t>5999084967079</t>
        </is>
      </c>
      <c r="G427" s="4" t="inlineStr">
        <is>
          <t xml:space="preserve"> • Horčíková anóda 
 • Anóda sa neustále opotrebováva, čím chráni vnútro nádrže a vykurovacie teleso pred koróziou. 
 • rozmery: d22 x 300 mm 
 • závitová tyč na upevnenie: M6 x 26 mm</t>
        </is>
      </c>
    </row>
    <row r="428">
      <c r="A428" s="3" t="inlineStr">
        <is>
          <t>17451000A04548</t>
        </is>
      </c>
      <c r="B428" s="2" t="inlineStr">
        <is>
          <t>MIDEA vykurovacia jednotka pre bojler D100-15FG, D80-15FG</t>
        </is>
      </c>
      <c r="C428" s="1" t="n">
        <v>24.69</v>
      </c>
      <c r="D428" s="7" t="n">
        <f>HYPERLINK("https://www.somogyi.sk/product/midea-vykurovacia-jednotka-pre-bojler-d100-15fg-d80-15fg-17451000a04548-18690","https://www.somogyi.sk/product/midea-vykurovacia-jednotka-pre-bojler-d100-15fg-d80-15fg-17451000a04548-18690")</f>
        <v>0.0</v>
      </c>
      <c r="E428" s="7" t="n">
        <f>HYPERLINK("https://www.somogyi.sk/data/img/product_main_images/small/18690.jpg","https://www.somogyi.sk/data/img/product_main_images/small/18690.jpg")</f>
        <v>0.0</v>
      </c>
      <c r="F428" s="2" t="inlineStr">
        <is>
          <t>5999084967086</t>
        </is>
      </c>
      <c r="G428" s="4" t="inlineStr">
        <is>
          <t xml:space="preserve"> • Kompletná vykurovacia jednotka, 2000 W 
 • horčíková anóda (d22 x 230 mm) 
 • smaltované vykurovacie teleso (2000 W) 
 • silikónový tesniaci krúžok 
 • priemer základne: 72 mm 
 • dĺžka nosnej rúrky regulácie teploty: 295 mm</t>
        </is>
      </c>
    </row>
    <row r="429">
      <c r="A429" s="3" t="inlineStr">
        <is>
          <t>D100-15FG</t>
        </is>
      </c>
      <c r="B429" s="2" t="inlineStr">
        <is>
          <t>MIDEA bojler</t>
        </is>
      </c>
      <c r="C429" s="1" t="n">
        <v>192.9</v>
      </c>
      <c r="D429" s="7" t="n">
        <f>HYPERLINK("https://www.somogyi.sk/product/midea-bojler-d100-15fg-18216","https://www.somogyi.sk/product/midea-bojler-d100-15fg-18216")</f>
        <v>0.0</v>
      </c>
      <c r="E429" s="7" t="n">
        <f>HYPERLINK("https://www.somogyi.sk/data/img/product_main_images/small/18216.jpg","https://www.somogyi.sk/data/img/product_main_images/small/18216.jpg")</f>
        <v>0.0</v>
      </c>
      <c r="F429" s="2" t="inlineStr">
        <is>
          <t>6939962591841</t>
        </is>
      </c>
      <c r="G429" s="4" t="inlineStr">
        <is>
          <t xml:space="preserve"> • výkon: 1500 W 
 • objem: 100 l 
 • umiestnenie: možno namontovať vertikálne na stenu 
 • ovládacie prvky: ovládanie mechanické, otočným gombíkom 
 • termostat: kapilárny termostat 
 • N/A: 30 °C - 80 °C 
 • N/A: max. prevádzkový tlak: 0,75 MPa 
 • N/A: ∅20 x 235 mm 
 • vidlica: uzemnená 
 • dĺžka napájacieho kábla: 115 cm 
 • N/A: IPX4 
 • energetická trieda: C 
 • N/A: smaltované vykurovacie teleso 
 • nádrž na vodu: smaltovaná nádrž na vodu 
 • rozmery: ∅450 x 977 mm 
 • displej: analógový teplomer 
 • ďalšie informácie: bezpečnostný ventil je príslušenstvom</t>
        </is>
      </c>
    </row>
    <row r="430">
      <c r="A430" s="3" t="inlineStr">
        <is>
          <t>D80-15FG</t>
        </is>
      </c>
      <c r="B430" s="2" t="inlineStr">
        <is>
          <t>MIDEA bojler</t>
        </is>
      </c>
      <c r="C430" s="1" t="n">
        <v>171.9</v>
      </c>
      <c r="D430" s="7" t="n">
        <f>HYPERLINK("https://www.somogyi.sk/product/midea-bojler-d80-15fg-18215","https://www.somogyi.sk/product/midea-bojler-d80-15fg-18215")</f>
        <v>0.0</v>
      </c>
      <c r="E430" s="7" t="n">
        <f>HYPERLINK("https://www.somogyi.sk/data/img/product_main_images/small/18215.jpg","https://www.somogyi.sk/data/img/product_main_images/small/18215.jpg")</f>
        <v>0.0</v>
      </c>
      <c r="F430" s="2" t="inlineStr">
        <is>
          <t>6939962591834</t>
        </is>
      </c>
      <c r="G430" s="4" t="inlineStr">
        <is>
          <t xml:space="preserve"> • výkon: 1500 W 
 • objem: 80 l 
 • umiestnenie: možno namontovať vertikálne na stenu 
 • ovládacie prvky: ovládanie mechanické, otočným gombíkom 
 • termostat: kapilárny termostat 
 • N/A: 30 °C - 80 °C 
 • N/A: max. prevádzkový tlak: 0,75 MPa 
 • N/A: ∅20 x 297 mm 
 • vidlica: uzemnená 
 • dĺžka napájacieho kábla: 115 cm 
 • N/A: IPX4 
 • energetická trieda: C 
 • N/A: smaltované vykurovacie teleso 
 • nádrž na vodu: smaltovaná nádrž na vodu 
 • rozmery: ∅450 x 812 mm 
 • displej: analógový teplomer</t>
        </is>
      </c>
    </row>
    <row r="431">
      <c r="A431" s="3" t="inlineStr">
        <is>
          <t>D80-20ED6</t>
        </is>
      </c>
      <c r="B431" s="2" t="inlineStr">
        <is>
          <t>MIDEA bojler, wifi</t>
        </is>
      </c>
      <c r="C431" s="1" t="n">
        <v>290.9</v>
      </c>
      <c r="D431" s="7" t="n">
        <f>HYPERLINK("https://www.somogyi.sk/product/midea-bojler-wifi-d80-20ed6-18218","https://www.somogyi.sk/product/midea-bojler-wifi-d80-20ed6-18218")</f>
        <v>0.0</v>
      </c>
      <c r="E431" s="7" t="n">
        <f>HYPERLINK("https://www.somogyi.sk/data/img/product_main_images/small/18218.jpg","https://www.somogyi.sk/data/img/product_main_images/small/18218.jpg")</f>
        <v>0.0</v>
      </c>
      <c r="F431" s="2" t="inlineStr">
        <is>
          <t>6939962586779</t>
        </is>
      </c>
      <c r="G431" s="4" t="inlineStr">
        <is>
          <t xml:space="preserve"> • výkon: 2000 W 
 • objem: 75 l 
 • umiestnenie: možno namontovať na stenu vertikálne aj horizontálne 
 • N/A: aplikácia Smart Home 
 • termostat: elektronický 
 • N/A: 30 °C - 75 °C 
 • N/A: max. prevádzkový tlak: 0,75 MPa 
 • N/A: ∅20 x 235 mm 
 • vidlica: uzemnená 
 • dĺžka napájacieho kábla: 115 cm 
 • N/A: IPX4 
 • energetická trieda: B 
 • nádrž na vodu: 2 smaltované nádrže na vodu (1 alebo 2 nádrže na prevádzku) 
 • rozmery: 569 x 902 x 295 mm 
 • ďalšie informácie: bezpečnostný ventil je príslušenstvom</t>
        </is>
      </c>
    </row>
    <row r="432">
      <c r="A432" s="3" t="inlineStr">
        <is>
          <t>D30-25VD1(O)</t>
        </is>
      </c>
      <c r="B432" s="2" t="inlineStr">
        <is>
          <t>MIDEA bojler</t>
        </is>
      </c>
      <c r="C432" s="1" t="n">
        <v>145.9</v>
      </c>
      <c r="D432" s="7" t="n">
        <f>HYPERLINK("https://www.somogyi.sk/product/midea-bojler-d30-25vd1-o-18213","https://www.somogyi.sk/product/midea-bojler-d30-25vd1-o-18213")</f>
        <v>0.0</v>
      </c>
      <c r="E432" s="7" t="n">
        <f>HYPERLINK("https://www.somogyi.sk/data/img/product_main_images/small/18213.jpg","https://www.somogyi.sk/data/img/product_main_images/small/18213.jpg")</f>
        <v>0.0</v>
      </c>
      <c r="F432" s="2" t="inlineStr">
        <is>
          <t>6939962591810</t>
        </is>
      </c>
      <c r="G432" s="4" t="inlineStr">
        <is>
          <t xml:space="preserve"> • výkon: 2500 W 
 • objem: 30 l 
 • umiestnenie: možno namontovať vertikálne na stenu • možno namontovať pod kuchynskú linku 
 • ovládacie prvky: ovládanie mechanické, otočným gombíkom 
 • N/A: 30 °C - 75 °C 
 • N/A: max. prevádzkový tlak: 0,75 MPa 
 • N/A: ∅18 x 110 mm 
 • vidlica: uzemnený 
 • dĺžka napájacieho kábla: 100 cm 
 • N/A: IPX4 
 • energetická trieda: C 
 • N/A: smaltované vykurovacie teleso 
 • nádrž na vodu: smaltovaná nádrž na vodu 
 • rozmery: 440 x 440 x 402 mm</t>
        </is>
      </c>
    </row>
    <row r="433">
      <c r="A433" s="3" t="inlineStr">
        <is>
          <t>17451000000063</t>
        </is>
      </c>
      <c r="B433" s="2" t="inlineStr">
        <is>
          <t>MIDEA obmedzovač teploty pre bojler D10-20VD1(O), D10-20VD1(U)</t>
        </is>
      </c>
      <c r="C433" s="1" t="n">
        <v>1.89</v>
      </c>
      <c r="D433" s="7" t="n">
        <f>HYPERLINK("https://www.somogyi.sk/product/midea-obmedzovac-teploty-pre-bojler-d10-20vd1-o-d10-20vd1-u-17451000000063-18700","https://www.somogyi.sk/product/midea-obmedzovac-teploty-pre-bojler-d10-20vd1-o-d10-20vd1-u-17451000000063-18700")</f>
        <v>0.0</v>
      </c>
      <c r="E433" s="7" t="n">
        <f>HYPERLINK("https://www.somogyi.sk/data/img/product_main_images/small/18700.jpg","https://www.somogyi.sk/data/img/product_main_images/small/18700.jpg")</f>
        <v>0.0</v>
      </c>
      <c r="F433" s="2" t="inlineStr">
        <is>
          <t>5999084967185</t>
        </is>
      </c>
      <c r="G433" s="4" t="inlineStr">
        <is>
          <t xml:space="preserve"> • uvoľňovanie tepla klixon 
 • AC250V/16A 
 • T 105°C 
 • Priemer: 24 mm 
 • 4 kontakty / 2 spínače pre súčasné odpojenie fázy/nuly 
 • elektrické pripojenie: 6,3-0,8 sponiek</t>
        </is>
      </c>
    </row>
    <row r="434">
      <c r="A434" s="3" t="inlineStr">
        <is>
          <t>17151000007911</t>
        </is>
      </c>
      <c r="B434" s="2" t="inlineStr">
        <is>
          <t>MIDEA displej pre bojler D100-20ED6, D80-20ED6</t>
        </is>
      </c>
      <c r="C434" s="1" t="n">
        <v>28.99</v>
      </c>
      <c r="D434" s="7" t="n">
        <f>HYPERLINK("https://www.somogyi.sk/product/midea-displej-pre-bojler-d100-20ed6-d80-20ed6-17151000007911-18695","https://www.somogyi.sk/product/midea-displej-pre-bojler-d100-20ed6-d80-20ed6-17151000007911-18695")</f>
        <v>0.0</v>
      </c>
      <c r="E434" s="7" t="n">
        <f>HYPERLINK("https://www.somogyi.sk/data/img/product_main_images/small/18695.jpg","https://www.somogyi.sk/data/img/product_main_images/small/18695.jpg")</f>
        <v>0.0</v>
      </c>
      <c r="F434" s="2" t="inlineStr">
        <is>
          <t>5999084967130</t>
        </is>
      </c>
      <c r="G434" s="4" t="inlineStr">
        <is>
          <t xml:space="preserve"> • LED segmentový displej 
 • podpora Wi-Fi 
 • kapacitívne dotykové tlačidlá 
 • rozmery displeja: 34 x 60 mm</t>
        </is>
      </c>
    </row>
    <row r="435">
      <c r="A435" s="3" t="inlineStr">
        <is>
          <t>17451000000197</t>
        </is>
      </c>
      <c r="B435" s="2" t="inlineStr">
        <is>
          <t>MIDEA horčíková anóda pre bojler D10-20VD1(O), D10-20VD1(U), D50-15FG</t>
        </is>
      </c>
      <c r="C435" s="1" t="n">
        <v>1.79</v>
      </c>
      <c r="D435" s="7" t="n">
        <f>HYPERLINK("https://www.somogyi.sk/product/midea-horcikova-anoda-pre-bojler-d10-20vd1-o-d10-20vd1-u-d50-15fg-17451000000197-18698","https://www.somogyi.sk/product/midea-horcikova-anoda-pre-bojler-d10-20vd1-o-d10-20vd1-u-d50-15fg-17451000000197-18698")</f>
        <v>0.0</v>
      </c>
      <c r="E435" s="7" t="n">
        <f>HYPERLINK("https://www.somogyi.sk/data/img/product_main_images/small/18698.jpg","https://www.somogyi.sk/data/img/product_main_images/small/18698.jpg")</f>
        <v>0.0</v>
      </c>
      <c r="F435" s="2" t="inlineStr">
        <is>
          <t>5999084967161</t>
        </is>
      </c>
      <c r="G435" s="4" t="inlineStr">
        <is>
          <t xml:space="preserve"> • Horčíková anóda 
 • Anóda sa neustále opotrebováva, čím chráni vnútro nádrže a vykurovacie teleso pred koróziou. 
 • rozmery: d18 x 110 mm 
 • závitová tyč na upevnenie: M6 x 16 mm</t>
        </is>
      </c>
    </row>
    <row r="436">
      <c r="A436" s="3" t="inlineStr">
        <is>
          <t>17451000A05863</t>
        </is>
      </c>
      <c r="B436" s="2" t="inlineStr">
        <is>
          <t>MIDEA obmedzovač teploty pre bojler D100-15FG, D80-15FG</t>
        </is>
      </c>
      <c r="C436" s="1" t="n">
        <v>6.59</v>
      </c>
      <c r="D436" s="7" t="n">
        <f>HYPERLINK("https://www.somogyi.sk/product/midea-obmedzovac-teploty-pre-bojler-d100-15fg-d80-15fg-17451000a05863-18692","https://www.somogyi.sk/product/midea-obmedzovac-teploty-pre-bojler-d100-15fg-d80-15fg-17451000a05863-18692")</f>
        <v>0.0</v>
      </c>
      <c r="E436" s="7" t="n">
        <f>HYPERLINK("https://www.somogyi.sk/data/img/product_main_images/small/18692.jpg","https://www.somogyi.sk/data/img/product_main_images/small/18692.jpg")</f>
        <v>0.0</v>
      </c>
      <c r="F436" s="2" t="inlineStr">
        <is>
          <t>5999084967109</t>
        </is>
      </c>
      <c r="G436" s="4" t="inlineStr">
        <is>
          <t xml:space="preserve"> • AC250V/20A 
 • T 100°C 
 • rozmery meracej sondy: 55 x 6 mm 
 • dĺžka meracieho kábla: 60 cm 
 • rozmery krytu prístroja: 27 x 46,5 x 43 mm 
 • s montážnym rámom 
 • elektrické pripojenie: 6,3-0,8 sponiek 
 • 4 kontakty / 2 spínače pre súčasné odpojenie fázy/nuly</t>
        </is>
      </c>
    </row>
    <row r="437">
      <c r="A437" s="3" t="inlineStr">
        <is>
          <t>D100-20ED6</t>
        </is>
      </c>
      <c r="B437" s="2" t="inlineStr">
        <is>
          <t>MIDEA bojler, wifi</t>
        </is>
      </c>
      <c r="C437" s="1" t="n">
        <v>322.9</v>
      </c>
      <c r="D437" s="7" t="n">
        <f>HYPERLINK("https://www.somogyi.sk/product/midea-bojler-wifi-d100-20ed6-18219","https://www.somogyi.sk/product/midea-bojler-wifi-d100-20ed6-18219")</f>
        <v>0.0</v>
      </c>
      <c r="E437" s="7" t="n">
        <f>HYPERLINK("https://www.somogyi.sk/data/img/product_main_images/small/18219.jpg","https://www.somogyi.sk/data/img/product_main_images/small/18219.jpg")</f>
        <v>0.0</v>
      </c>
      <c r="F437" s="2" t="inlineStr">
        <is>
          <t>6939962586786</t>
        </is>
      </c>
      <c r="G437" s="4" t="inlineStr">
        <is>
          <t xml:space="preserve"> • výkon: 2000 W 
 • objem: 93 l 
 • umiestnenie: možno namontovať na stenu vertikálne aj horizontálne 
 • N/A: aplikácia Smart Home 
 • termostat: elektronický 
 • N/A: 30 °C - 75 °C 
 • N/A: max. prevádzkový tlak: 0,75 MPa 
 • N/A: ∅20 x 235 mm 
 • vidlica: uzemnená 
 • dĺžka napájacieho kábla: 115 cm 
 • N/A: IPX4 
 • energetická trieda: B 
 • nádrž na vodu: 2 smaltované nádrže na vodu (1 alebo 2 nádrže na prevádzku) 
 • rozmery: 569 x 1087 x 295 mm 
 • ďalšie informácie: bezpečnostný ventil je príslušenstvom</t>
        </is>
      </c>
    </row>
    <row r="438">
      <c r="A438" s="3" t="inlineStr">
        <is>
          <t>17451000000071</t>
        </is>
      </c>
      <c r="B438" s="2" t="inlineStr">
        <is>
          <t>MIDEA obmedzovač teploty pre bojler D100-20ED6, D80-20ED6</t>
        </is>
      </c>
      <c r="C438" s="1" t="n">
        <v>12.69</v>
      </c>
      <c r="D438" s="7" t="n">
        <f>HYPERLINK("https://www.somogyi.sk/product/midea-obmedzovac-teploty-pre-bojler-d100-20ed6-d80-20ed6-17451000000071-18697","https://www.somogyi.sk/product/midea-obmedzovac-teploty-pre-bojler-d100-20ed6-d80-20ed6-17451000000071-18697")</f>
        <v>0.0</v>
      </c>
      <c r="E438" s="7" t="n">
        <f>HYPERLINK("https://www.somogyi.sk/data/img/product_main_images/small/18697.jpg","https://www.somogyi.sk/data/img/product_main_images/small/18697.jpg")</f>
        <v>0.0</v>
      </c>
      <c r="F438" s="2" t="inlineStr">
        <is>
          <t>5999084967154</t>
        </is>
      </c>
      <c r="G438" s="4" t="inlineStr">
        <is>
          <t xml:space="preserve"> • AC250V/20A 
 • T 100°C 
 • dve nezávislé jednotky na obmedzenie tepla integrované pre dve nádrže 
 • dva spínače na jednotku pre súčasné odpojenie fázy/nuly 
 • rozmery meracej sondy: 80 x 6 mm 
 • dĺžka meracieho kábla: 40 cm 
 • rozmery krytu prístroja: 55 x 56/76 (bez rámu/s rámom) x 42 mm 
 • vybavené montážnym rámom 
 • elektrické pripojenie: 6,3-0,8 sponiek 
 • dva-dva spínače, pre súčasné prerušenie fázy/neutrálu</t>
        </is>
      </c>
    </row>
    <row r="439">
      <c r="A439" s="3" t="inlineStr">
        <is>
          <t>D10-20VD1(U)</t>
        </is>
      </c>
      <c r="B439" s="2" t="inlineStr">
        <is>
          <t>MIDEA bojler</t>
        </is>
      </c>
      <c r="C439" s="1" t="n">
        <v>93.89</v>
      </c>
      <c r="D439" s="7" t="n">
        <f>HYPERLINK("https://www.somogyi.sk/product/midea-bojler-d10-20vd1-u-18208","https://www.somogyi.sk/product/midea-bojler-d10-20vd1-u-18208")</f>
        <v>0.0</v>
      </c>
      <c r="E439" s="7" t="n">
        <f>HYPERLINK("https://www.somogyi.sk/data/img/product_main_images/small/18208.jpg","https://www.somogyi.sk/data/img/product_main_images/small/18208.jpg")</f>
        <v>0.0</v>
      </c>
      <c r="F439" s="2" t="inlineStr">
        <is>
          <t>6939962591766</t>
        </is>
      </c>
      <c r="G439" s="4" t="inlineStr">
        <is>
          <t xml:space="preserve"> • výkon: 2000 W 
 • objem: 10 l 
 • umiestnenie: možno namontovať vertikálne na stenu • možno namontovať pod kuchynskú linku 
 • ovládacie prvky: ovládanie mechanické, otočným gombíkom 
 • termostat: kapilárny termostat 
 • N/A: 30 °C - 75 °C 
 • N/A: max. prevádzkový tlak: 0,75 MPa 
 • N/A: ∅18 x 110 mm 
 • vidlica: uzemnená 
 • dĺžka napájacieho kábla: 100 cm 
 • N/A: IPX4 
 • energetická trieda: A 
 • N/A: smaltované vykurovacie teleso 
 • nádrž na vodu: smaltovaná nádrž na vodu 
 • rozmery: 324 x 324 x 300 mm 
 • ďalšie informácie: bezpečnostný ventil je príslušenstvom</t>
        </is>
      </c>
    </row>
    <row r="440">
      <c r="A440" s="3" t="inlineStr">
        <is>
          <t>D10-20VD1(O)</t>
        </is>
      </c>
      <c r="B440" s="2" t="inlineStr">
        <is>
          <t>MIDEA bojler</t>
        </is>
      </c>
      <c r="C440" s="1" t="n">
        <v>93.59</v>
      </c>
      <c r="D440" s="7" t="n">
        <f>HYPERLINK("https://www.somogyi.sk/product/midea-bojler-d10-20vd1-o-18209","https://www.somogyi.sk/product/midea-bojler-d10-20vd1-o-18209")</f>
        <v>0.0</v>
      </c>
      <c r="E440" s="7" t="n">
        <f>HYPERLINK("https://www.somogyi.sk/data/img/product_main_images/small/18209.jpg","https://www.somogyi.sk/data/img/product_main_images/small/18209.jpg")</f>
        <v>0.0</v>
      </c>
      <c r="F440" s="2" t="inlineStr">
        <is>
          <t>6939962591773</t>
        </is>
      </c>
      <c r="G440" s="4" t="inlineStr">
        <is>
          <t xml:space="preserve"> • výkon: 2000 W 
 • objem: 10 l 
 • umiestnenie: možno namontovať vertikálne na stenu • možno namontovať pod kuchynskú linku 
 • ovládacie prvky: ovládanie mechanické, otočným gombíkom 
 • termostat: kapilárny termostat 
 • N/A: 30 °C - 75 °C 
 • N/A: max. prevádzkový tlak: 0,75 MPa 
 • N/A: ∅18 x 110 mm 
 • vidlica: uzemnená 
 • dĺžka napájacieho kábla: 100 cm 
 • N/A: IPX4 
 • energetická trieda: A 
 • N/A: smaltované vykurovacie teleso 
 • nádrž na vodu: smaltovaná nádrž na vodu 
 • rozmery: 324 x 324 x 300 mm 
 • ďalšie informácie: bezpečnostný ventil je príslušenstvom</t>
        </is>
      </c>
    </row>
    <row r="441">
      <c r="A441" s="3" t="inlineStr">
        <is>
          <t>D30-25VD1(U)</t>
        </is>
      </c>
      <c r="B441" s="2" t="inlineStr">
        <is>
          <t>MIDEA bojler</t>
        </is>
      </c>
      <c r="C441" s="1" t="n">
        <v>145.9</v>
      </c>
      <c r="D441" s="7" t="n">
        <f>HYPERLINK("https://www.somogyi.sk/product/midea-bojler-d30-25vd1-u-18212","https://www.somogyi.sk/product/midea-bojler-d30-25vd1-u-18212")</f>
        <v>0.0</v>
      </c>
      <c r="E441" s="7" t="n">
        <f>HYPERLINK("https://www.somogyi.sk/data/img/product_main_images/small/18212.jpg","https://www.somogyi.sk/data/img/product_main_images/small/18212.jpg")</f>
        <v>0.0</v>
      </c>
      <c r="F441" s="2" t="inlineStr">
        <is>
          <t>6939962591803</t>
        </is>
      </c>
      <c r="G441" s="4" t="inlineStr">
        <is>
          <t xml:space="preserve"> • výkon: 2500 W 
 • objem: 30 l 
 • umiestnenie: možno namontovať vertikálne na stenu • možno namontovať pod kuchynskú linku 
 • ovládacie prvky: ovládanie mechanické, otočným gombíkom 
 • N/A: 30 °C - 75 °C 
 • N/A: max. prevádzkový tlak: 0,75 MPa 
 • N/A: ∅18 x 110 mm 
 • vidlica: uzemnený 
 • dĺžka napájacieho kábla: 100 cm 
 • N/A: IPX4 
 • energetická trieda: C 
 • N/A: smaltované vykurovacie teleso 
 • nádrž na vodu: smaltovaná nádrž na vodu 
 • rozmery: 440 x 440 x 402 mm</t>
        </is>
      </c>
    </row>
    <row r="442">
      <c r="A442" s="3" t="inlineStr">
        <is>
          <t>17451000008894</t>
        </is>
      </c>
      <c r="B442" s="2" t="inlineStr">
        <is>
          <t>MIDEA vykurovacia jednotka pre bojler D50-15FG</t>
        </is>
      </c>
      <c r="C442" s="1" t="n">
        <v>16.79</v>
      </c>
      <c r="D442" s="7" t="n">
        <f>HYPERLINK("https://www.somogyi.sk/product/midea-vykurovacia-jednotka-pre-bojler-d50-15fg-17451000008894-18703","https://www.somogyi.sk/product/midea-vykurovacia-jednotka-pre-bojler-d50-15fg-17451000008894-18703")</f>
        <v>0.0</v>
      </c>
      <c r="E442" s="7" t="n">
        <f>HYPERLINK("https://www.somogyi.sk/data/img/product_main_images/small/18703.jpg","https://www.somogyi.sk/data/img/product_main_images/small/18703.jpg")</f>
        <v>0.0</v>
      </c>
      <c r="F442" s="2" t="inlineStr">
        <is>
          <t>5999084967215</t>
        </is>
      </c>
      <c r="G442" s="4" t="inlineStr">
        <is>
          <t xml:space="preserve"> • Kompletná vykurovacia jednotka, 1500 W 
 • horčíková anóda (d18 x 110 mm) 
 • smaltované vykurovacie teleso (1500 W) 
 • silikónový tesniaci krúžok 
 • priemer základne: 90 mm 
 • dĺžka nosnej rúrky regulácie teploty: 295 mm</t>
        </is>
      </c>
    </row>
    <row r="443">
      <c r="A443" s="3" t="inlineStr">
        <is>
          <t>17451000009773</t>
        </is>
      </c>
      <c r="B443" s="2" t="inlineStr">
        <is>
          <t>MIDEA teplomer vody pre bojler D100-15FG, D50-15FG, D80-15FG</t>
        </is>
      </c>
      <c r="C443" s="1" t="n">
        <v>1.99</v>
      </c>
      <c r="D443" s="7" t="n">
        <f>HYPERLINK("https://www.somogyi.sk/product/midea-teplomer-vody-pre-bojler-d100-15fg-d50-15fg-d80-15fg-17451000009773-18693","https://www.somogyi.sk/product/midea-teplomer-vody-pre-bojler-d100-15fg-d50-15fg-d80-15fg-17451000009773-18693")</f>
        <v>0.0</v>
      </c>
      <c r="E443" s="7" t="n">
        <f>HYPERLINK("https://www.somogyi.sk/data/img/product_main_images/small/18693.jpg","https://www.somogyi.sk/data/img/product_main_images/small/18693.jpg")</f>
        <v>0.0</v>
      </c>
      <c r="F443" s="2" t="inlineStr">
        <is>
          <t>5999084967116</t>
        </is>
      </c>
      <c r="G443" s="4" t="inlineStr">
        <is>
          <t xml:space="preserve"> • priemer: 72 mm 
 • hrúbka: 36/10 mm (celá/vonkajšia montážna plocha) 
 • priemer huby na snímanie teploty: 16,2 mm 
 • priemer montážneho otvoru: 20 mm 
 • upevnenie s plastovými úchytkami 
 • mechanické zobrazenie podobné hodinovým ručičkám, s nápismi LOW/HIGH</t>
        </is>
      </c>
    </row>
    <row r="444">
      <c r="A444" s="3" t="inlineStr">
        <is>
          <t>12951000001121</t>
        </is>
      </c>
      <c r="B444" s="2" t="inlineStr">
        <is>
          <t>MIDEA poistný ventil pre bojler D10-20VD1(O), D10-20VD1(U)</t>
        </is>
      </c>
      <c r="C444" s="1" t="n">
        <v>6.19</v>
      </c>
      <c r="D444" s="7" t="n">
        <f>HYPERLINK("https://www.somogyi.sk/product/midea-poistny-ventil-pre-bojler-d10-20vd1-o-d10-20vd1-u-12951000001121-18702","https://www.somogyi.sk/product/midea-poistny-ventil-pre-bojler-d10-20vd1-o-d10-20vd1-u-12951000001121-18702")</f>
        <v>0.0</v>
      </c>
      <c r="E444" s="7" t="n">
        <f>HYPERLINK("https://www.somogyi.sk/data/img/product_main_images/small/18702.jpg","https://www.somogyi.sk/data/img/product_main_images/small/18702.jpg")</f>
        <v>0.0</v>
      </c>
      <c r="F444" s="2" t="inlineStr">
        <is>
          <t>5999084967208</t>
        </is>
      </c>
      <c r="G444" s="4" t="inlineStr">
        <is>
          <t xml:space="preserve"> • 0,75 Mpa / 7,5 bar 
 • možnosť manuálneho ovládania s pákou upevnenou bezpečnostnou skrutkou 
 • pripojenie: KB 
 • pre G 1/2" potrubie</t>
        </is>
      </c>
    </row>
    <row r="445">
      <c r="A445" s="3" t="inlineStr">
        <is>
          <t>17451000008900</t>
        </is>
      </c>
      <c r="B445" s="2" t="inlineStr">
        <is>
          <t>MIDEA vykurovacia jednotka pre bojler D10-20VD1(O), D10-20VD1(U)</t>
        </is>
      </c>
      <c r="C445" s="1" t="n">
        <v>15.19</v>
      </c>
      <c r="D445" s="7" t="n">
        <f>HYPERLINK("https://www.somogyi.sk/product/midea-vykurovacia-jednotka-pre-bojler-d10-20vd1-o-d10-20vd1-u-17451000008900-18699","https://www.somogyi.sk/product/midea-vykurovacia-jednotka-pre-bojler-d10-20vd1-o-d10-20vd1-u-17451000008900-18699")</f>
        <v>0.0</v>
      </c>
      <c r="E445" s="7" t="n">
        <f>HYPERLINK("https://www.somogyi.sk/data/img/product_main_images/small/18699.jpg","https://www.somogyi.sk/data/img/product_main_images/small/18699.jpg")</f>
        <v>0.0</v>
      </c>
      <c r="F445" s="2" t="inlineStr">
        <is>
          <t>5999084967178</t>
        </is>
      </c>
      <c r="G445" s="4" t="inlineStr">
        <is>
          <t xml:space="preserve"> • Kompletná vykurovacia jednotka, 2000 W 
 • horčíková anóda (d18 x 110 mm) 
 • smaltované vykurovacie teleso (2000 W) 
 • silikónový tesniaci krúžok 
 • priemer základne: 72 mm 
 • dĺžka nosnej rúrky regulácie teploty: 145 mm</t>
        </is>
      </c>
    </row>
    <row r="446">
      <c r="A446" s="3" t="inlineStr">
        <is>
          <t>17451000011272</t>
        </is>
      </c>
      <c r="B446" s="2" t="inlineStr">
        <is>
          <t>MIDEA termostat pre bojler D100-15FG, D50-15FG, D80-15FG</t>
        </is>
      </c>
      <c r="C446" s="1" t="n">
        <v>5.99</v>
      </c>
      <c r="D446" s="7" t="n">
        <f>HYPERLINK("https://www.somogyi.sk/product/midea-termostat-pre-bojler-d100-15fg-d50-15fg-d80-15fg-17451000011272-18691","https://www.somogyi.sk/product/midea-termostat-pre-bojler-d100-15fg-d50-15fg-d80-15fg-17451000011272-18691")</f>
        <v>0.0</v>
      </c>
      <c r="E446" s="7" t="n">
        <f>HYPERLINK("https://www.somogyi.sk/data/img/product_main_images/small/18691.jpg","https://www.somogyi.sk/data/img/product_main_images/small/18691.jpg")</f>
        <v>0.0</v>
      </c>
      <c r="F446" s="2" t="inlineStr">
        <is>
          <t>5999084967093</t>
        </is>
      </c>
      <c r="G446" s="4" t="inlineStr">
        <is>
          <t xml:space="preserve"> • AC250V/16A 
 • T 80°C 
 • rozmery meracej sondy: 100 x 6,3 mm 
 • dĺžka meracieho kábla: 50 cm 
 • rozmery krytu prístroja: 35 x 4 3x 24 mm 
 • s montážnym rámom 
 • elektrické pripojenie: 6,3-0,8 sponiek 
 • mechanický otočný spínač</t>
        </is>
      </c>
    </row>
    <row r="447">
      <c r="A447" s="3" t="inlineStr">
        <is>
          <t>D50-15FG</t>
        </is>
      </c>
      <c r="B447" s="2" t="inlineStr">
        <is>
          <t>MIDEA bojler</t>
        </is>
      </c>
      <c r="C447" s="1" t="n">
        <v>142.9</v>
      </c>
      <c r="D447" s="7" t="n">
        <f>HYPERLINK("https://www.somogyi.sk/product/midea-bojler-d50-15fg-18214","https://www.somogyi.sk/product/midea-bojler-d50-15fg-18214")</f>
        <v>0.0</v>
      </c>
      <c r="E447" s="7" t="n">
        <f>HYPERLINK("https://www.somogyi.sk/data/img/product_main_images/small/18214.jpg","https://www.somogyi.sk/data/img/product_main_images/small/18214.jpg")</f>
        <v>0.0</v>
      </c>
      <c r="F447" s="2" t="inlineStr">
        <is>
          <t>6939962591827</t>
        </is>
      </c>
      <c r="G447" s="4" t="inlineStr">
        <is>
          <t xml:space="preserve"> • výkon: 1500 W 
 • objem: 50 l 
 • umiestnenie: možno namontovať vertikálne na stenu 
 • ovládacie prvky: ovládanie mechanické, otočným gombíkom 
 • termostat: kapilárny termostat 
 • N/A: 30 °C - 80 °C 
 • N/A: max. prevádzkový tlak: 0,75 MPa 
 • N/A: ∅18 x 110 mm 
 • vidlica: uzemnená 
 • dĺžka napájacieho kábla: 115 cm 
 • N/A: IPX4 
 • energetická trieda: C 
 • N/A: smaltované vykurovacie teleso 
 • nádrž na vodu: smaltovaná nádrž na vodu 
 • rozmery: ∅385 x 755 mm 
 • displej: analógový teplomer 
 • ďalšie informácie: bezpečnostný ventil je príslušenstvom</t>
        </is>
      </c>
    </row>
    <row r="448">
      <c r="A448" s="3" t="inlineStr">
        <is>
          <t>17151000006476</t>
        </is>
      </c>
      <c r="B448" s="2" t="inlineStr">
        <is>
          <t>MIDEA napájací zdroj pre bojler D100-20ED6, D80-20ED6</t>
        </is>
      </c>
      <c r="C448" s="1" t="n">
        <v>13.19</v>
      </c>
      <c r="D448" s="7" t="n">
        <f>HYPERLINK("https://www.somogyi.sk/product/midea-napajaci-zdroj-pre-bojler-d100-20ed6-d80-20ed6-17151000006476-18696","https://www.somogyi.sk/product/midea-napajaci-zdroj-pre-bojler-d100-20ed6-d80-20ed6-17151000006476-18696")</f>
        <v>0.0</v>
      </c>
      <c r="E448" s="7" t="n">
        <f>HYPERLINK("https://www.somogyi.sk/data/img/product_main_images/small/18696.jpg","https://www.somogyi.sk/data/img/product_main_images/small/18696.jpg")</f>
        <v>0.0</v>
      </c>
      <c r="F448" s="2" t="inlineStr">
        <is>
          <t>5999084967147</t>
        </is>
      </c>
      <c r="G448" s="4" t="inlineStr">
        <is>
          <t xml:space="preserve"> • Spínacia napájacia jednotka</t>
        </is>
      </c>
    </row>
    <row r="449">
      <c r="A449" s="3" t="inlineStr">
        <is>
          <t>17451000009734</t>
        </is>
      </c>
      <c r="B449" s="2" t="inlineStr">
        <is>
          <t>MIDEA termostat pre bojler D10-20VD1(O), D10-20VD1(U)</t>
        </is>
      </c>
      <c r="C449" s="1" t="n">
        <v>5.89</v>
      </c>
      <c r="D449" s="7" t="n">
        <f>HYPERLINK("https://www.somogyi.sk/product/midea-termostat-pre-bojler-d10-20vd1-o-d10-20vd1-u-17451000009734-18701","https://www.somogyi.sk/product/midea-termostat-pre-bojler-d10-20vd1-o-d10-20vd1-u-17451000009734-18701")</f>
        <v>0.0</v>
      </c>
      <c r="E449" s="7" t="n">
        <f>HYPERLINK("https://www.somogyi.sk/data/img/product_main_images/small/18701.jpg","https://www.somogyi.sk/data/img/product_main_images/small/18701.jpg")</f>
        <v>0.0</v>
      </c>
      <c r="F449" s="2" t="inlineStr">
        <is>
          <t>5999084967192</t>
        </is>
      </c>
      <c r="G449" s="4" t="inlineStr">
        <is>
          <t xml:space="preserve"> • AC250V/16A 
 • T 75°C 
 • rozmery meracej sondy: 100 x 6 mm 
 • dĺžka meracieho kábla: 50 cm 
 • rozmery krytu prístroja: 35 x43 x 24 mm 
 • s montážnym rámom 
 • elektrické pripojenie: 6,3-0,8 sponiek 
 • mechanický otočný spínač</t>
        </is>
      </c>
    </row>
    <row r="450">
      <c r="A450" s="3" t="inlineStr">
        <is>
          <t>17451000011613</t>
        </is>
      </c>
      <c r="B450" s="2" t="inlineStr">
        <is>
          <t>MIDEA obmedzovač teploty pre bojler D50-15FG</t>
        </is>
      </c>
      <c r="C450" s="1" t="n">
        <v>6.49</v>
      </c>
      <c r="D450" s="7" t="n">
        <f>HYPERLINK("https://www.somogyi.sk/product/midea-obmedzovac-teploty-pre-bojler-d50-15fg-17451000011613-18704","https://www.somogyi.sk/product/midea-obmedzovac-teploty-pre-bojler-d50-15fg-17451000011613-18704")</f>
        <v>0.0</v>
      </c>
      <c r="E450" s="7" t="n">
        <f>HYPERLINK("https://www.somogyi.sk/data/img/product_main_images/small/18704.jpg","https://www.somogyi.sk/data/img/product_main_images/small/18704.jpg")</f>
        <v>0.0</v>
      </c>
      <c r="F450" s="2" t="inlineStr">
        <is>
          <t>5999084967222</t>
        </is>
      </c>
      <c r="G450" s="4" t="inlineStr">
        <is>
          <t xml:space="preserve"> • AC250V/16A 
 • T 100°C 
 • rozmery meracej sondy: 55 x 6 mm 
 • dĺžka meracieho kábla: 45 cm 
 • rozmery krytu prístroja: 27 x 46,5 x 43 mm 
 • s montážnym rámom 
 • elektrické pripojenie: 6,3-0,8 sponiek 
 • 4 kontakty / 2 spínače pre súčasné odpojenie fázy/nuly</t>
        </is>
      </c>
    </row>
    <row r="451">
      <c r="A451" s="3" t="inlineStr">
        <is>
          <t>17451000010794</t>
        </is>
      </c>
      <c r="B451" s="2" t="inlineStr">
        <is>
          <t>MIDEA vykurovacia jednotka pre bojler D100-20ED6, D80-20ED6</t>
        </is>
      </c>
      <c r="C451" s="1" t="n">
        <v>20.79</v>
      </c>
      <c r="D451" s="7" t="n">
        <f>HYPERLINK("https://www.somogyi.sk/product/midea-vykurovacia-jednotka-pre-bojler-d100-20ed6-d80-20ed6-17451000010794-18694","https://www.somogyi.sk/product/midea-vykurovacia-jednotka-pre-bojler-d100-20ed6-d80-20ed6-17451000010794-18694")</f>
        <v>0.0</v>
      </c>
      <c r="E451" s="7" t="n">
        <f>HYPERLINK("https://www.somogyi.sk/data/img/product_main_images/small/18694.jpg","https://www.somogyi.sk/data/img/product_main_images/small/18694.jpg")</f>
        <v>0.0</v>
      </c>
      <c r="F451" s="2" t="inlineStr">
        <is>
          <t>5999084967123</t>
        </is>
      </c>
      <c r="G451" s="4" t="inlineStr">
        <is>
          <t xml:space="preserve"> • Kompletná vykurovacia jednotka, 2000 W 
 • horčíková anóda (d22 x 230 mm) 
 • smaltované vykurovacie teleso (2000 W) 
 • silikónový tesniaci krúžok 
 • priemer základne: 72 mm 
 • dĺžka nosnej rúrky regulácie teploty: 295 mm</t>
        </is>
      </c>
    </row>
    <row r="452">
      <c r="A452" s="6" t="inlineStr">
        <is>
          <t xml:space="preserve">   Domáce spotrebiče / Kuchynské potreby</t>
        </is>
      </c>
      <c r="B452" s="6" t="inlineStr">
        <is>
          <t/>
        </is>
      </c>
      <c r="C452" s="6" t="inlineStr">
        <is>
          <t/>
        </is>
      </c>
      <c r="D452" s="6" t="inlineStr">
        <is>
          <t/>
        </is>
      </c>
      <c r="E452" s="6" t="inlineStr">
        <is>
          <t/>
        </is>
      </c>
      <c r="F452" s="6" t="inlineStr">
        <is>
          <t/>
        </is>
      </c>
      <c r="G452" s="6" t="inlineStr">
        <is>
          <t/>
        </is>
      </c>
    </row>
    <row r="453">
      <c r="A453" s="3" t="inlineStr">
        <is>
          <t>10-111-003</t>
        </is>
      </c>
      <c r="B453" s="2" t="inlineStr">
        <is>
          <t>Vidlica na mäso "Misty" 35 cm</t>
        </is>
      </c>
      <c r="C453" s="1" t="n">
        <v>3.39</v>
      </c>
      <c r="D453" s="7" t="n">
        <f>HYPERLINK("https://www.somogyi.sk/product/vidlica-na-maso-misty-35-cm-10-111-003-18639","https://www.somogyi.sk/product/vidlica-na-maso-misty-35-cm-10-111-003-18639")</f>
        <v>0.0</v>
      </c>
      <c r="E453" s="7" t="n">
        <f>HYPERLINK("https://www.somogyi.sk/data/img/product_main_images/small/18639.jpg","https://www.somogyi.sk/data/img/product_main_images/small/18639.jpg")</f>
        <v>0.0</v>
      </c>
      <c r="F453" s="2" t="inlineStr">
        <is>
          <t>5205746889161</t>
        </is>
      </c>
      <c r="G453" s="4" t="inlineStr">
        <is>
          <t xml:space="preserve"> • materiál: nylon 
 • N/A: do 200 °C 
 • rozmery: 35 x 4 cm 
 • hmotnosť: 0,08 kg 
 • N/A: aj v umývačke riadu</t>
        </is>
      </c>
    </row>
    <row r="454">
      <c r="A454" s="3" t="inlineStr">
        <is>
          <t>10-111-007</t>
        </is>
      </c>
      <c r="B454" s="2" t="inlineStr">
        <is>
          <t>"Misty" Šľahač na vajíčka 31 cm</t>
        </is>
      </c>
      <c r="C454" s="1" t="n">
        <v>3.49</v>
      </c>
      <c r="D454" s="7" t="n">
        <f>HYPERLINK("https://www.somogyi.sk/product/-misty-slahac-na-vajicka-31-cm-10-111-007-18644","https://www.somogyi.sk/product/-misty-slahac-na-vajicka-31-cm-10-111-007-18644")</f>
        <v>0.0</v>
      </c>
      <c r="E454" s="7" t="n">
        <f>HYPERLINK("https://www.somogyi.sk/data/img/product_main_images/small/18644.jpg","https://www.somogyi.sk/data/img/product_main_images/small/18644.jpg")</f>
        <v>0.0</v>
      </c>
      <c r="F454" s="2" t="inlineStr">
        <is>
          <t>5205746889130</t>
        </is>
      </c>
      <c r="G454" s="4" t="inlineStr">
        <is>
          <t xml:space="preserve"> • materiál: nylon 
 • N/A: do 200 °C 
 • rozmery: 31 x 6 cm 
 • hmotnosť: 0,09 kg 
 • N/A: aj v umývačke riadu</t>
        </is>
      </c>
    </row>
    <row r="455">
      <c r="A455" s="3" t="inlineStr">
        <is>
          <t>10-111-025</t>
        </is>
      </c>
      <c r="B455" s="2" t="inlineStr">
        <is>
          <t>"Misty" otvárač na konzervy 22cm</t>
        </is>
      </c>
      <c r="C455" s="1" t="n">
        <v>7.29</v>
      </c>
      <c r="D455" s="7" t="n">
        <f>HYPERLINK("https://www.somogyi.sk/product/-misty-otvarac-na-konzervy-22cm-10-111-025-18655","https://www.somogyi.sk/product/-misty-otvarac-na-konzervy-22cm-10-111-025-18655")</f>
        <v>0.0</v>
      </c>
      <c r="E455" s="7" t="n">
        <f>HYPERLINK("https://www.somogyi.sk/data/img/product_main_images/small/18655.jpg","https://www.somogyi.sk/data/img/product_main_images/small/18655.jpg")</f>
        <v>0.0</v>
      </c>
      <c r="F455" s="2" t="inlineStr">
        <is>
          <t>5205746889406</t>
        </is>
      </c>
      <c r="G455" s="4" t="inlineStr">
        <is>
          <t xml:space="preserve"> • materiál: nehrdzavejúci oceľ a plast 
 • charakteristiky: protišmyková rukoväť 
 • rozmery: 22 x 6,5 cm 
 • hmotnosť: 0,22 kg 
 • N/A: aj v umývačke riadu</t>
        </is>
      </c>
    </row>
    <row r="456">
      <c r="A456" s="3" t="inlineStr">
        <is>
          <t>10-111-005</t>
        </is>
      </c>
      <c r="B456" s="2" t="inlineStr">
        <is>
          <t>"Misty" Servírovacia lyžica 34 cm</t>
        </is>
      </c>
      <c r="C456" s="1" t="n">
        <v>3.39</v>
      </c>
      <c r="D456" s="7" t="n">
        <f>HYPERLINK("https://www.somogyi.sk/product/-misty-servirovacia-lyzica-34-cm-10-111-005-18641","https://www.somogyi.sk/product/-misty-servirovacia-lyzica-34-cm-10-111-005-18641")</f>
        <v>0.0</v>
      </c>
      <c r="E456" s="7" t="n">
        <f>HYPERLINK("https://www.somogyi.sk/data/img/product_main_images/small/18641.jpg","https://www.somogyi.sk/data/img/product_main_images/small/18641.jpg")</f>
        <v>0.0</v>
      </c>
      <c r="F456" s="2" t="inlineStr">
        <is>
          <t>5205746889017</t>
        </is>
      </c>
      <c r="G456" s="4" t="inlineStr">
        <is>
          <t xml:space="preserve"> • materiál: nylon 
 • N/A: do 200 °C 
 • rozmery: 34 x 6 cm 
 • hmotnosť: 0,08 kg 
 • N/A: aj v umývačke riadu</t>
        </is>
      </c>
    </row>
    <row r="457">
      <c r="A457" s="3" t="inlineStr">
        <is>
          <t>10-111-024</t>
        </is>
      </c>
      <c r="B457" s="2" t="inlineStr">
        <is>
          <t>"Misty" Lis na cesnak 20,5 cm</t>
        </is>
      </c>
      <c r="C457" s="1" t="n">
        <v>7.29</v>
      </c>
      <c r="D457" s="7" t="n">
        <f>HYPERLINK("https://www.somogyi.sk/product/-misty-lis-na-cesnak-20-5-cm-10-111-024-18654","https://www.somogyi.sk/product/-misty-lis-na-cesnak-20-5-cm-10-111-024-18654")</f>
        <v>0.0</v>
      </c>
      <c r="E457" s="7" t="n">
        <f>HYPERLINK("https://www.somogyi.sk/data/img/product_main_images/small/18654.jpg","https://www.somogyi.sk/data/img/product_main_images/small/18654.jpg")</f>
        <v>0.0</v>
      </c>
      <c r="F457" s="2" t="inlineStr">
        <is>
          <t>5205746889246</t>
        </is>
      </c>
      <c r="G457" s="4" t="inlineStr">
        <is>
          <t xml:space="preserve"> • materiál: nehrdzavejúci oceľ a plast 
 • rozmery: 20,5 x 6 cm 
 • hmotnosť: 0,2 kg 
 • N/A: aj v umývačke riadu</t>
        </is>
      </c>
    </row>
    <row r="458">
      <c r="A458" s="3" t="inlineStr">
        <is>
          <t>10-111-081</t>
        </is>
      </c>
      <c r="B458" s="2" t="inlineStr">
        <is>
          <t>Silikónové rukavice</t>
        </is>
      </c>
      <c r="C458" s="1" t="n">
        <v>10.49</v>
      </c>
      <c r="D458" s="7" t="n">
        <f>HYPERLINK("https://www.somogyi.sk/product/silikonove-rukavice-10-111-081-18361","https://www.somogyi.sk/product/silikonove-rukavice-10-111-081-18361")</f>
        <v>0.0</v>
      </c>
      <c r="E458" s="7" t="n">
        <f>HYPERLINK("https://www.somogyi.sk/data/img/product_main_images/small/18361.jpg","https://www.somogyi.sk/data/img/product_main_images/small/18361.jpg")</f>
        <v>0.0</v>
      </c>
      <c r="F458" s="2" t="inlineStr">
        <is>
          <t>5205746117936</t>
        </is>
      </c>
      <c r="G458" s="4" t="inlineStr">
        <is>
          <t xml:space="preserve"> • charakteristiky: protišmykový povrch 
 • rozmery: 19 x 30 cm (hrúbka látky: 3 mm, výška rukavice: 1 cm) 
 • N/A: možno umývať v umývačke riadu</t>
        </is>
      </c>
    </row>
    <row r="459">
      <c r="A459" s="3" t="inlineStr">
        <is>
          <t>10-111-041</t>
        </is>
      </c>
      <c r="B459" s="2" t="inlineStr">
        <is>
          <t>"Misty"Silikónové rukavice s látkovou podšívkou 30 cm</t>
        </is>
      </c>
      <c r="C459" s="1" t="n">
        <v>10.39</v>
      </c>
      <c r="D459" s="7" t="n">
        <f>HYPERLINK("https://www.somogyi.sk/product/-misty-silikonove-rukavice-s-latkovou-podsivkou-30-cm-10-111-041-18660","https://www.somogyi.sk/product/-misty-silikonove-rukavice-s-latkovou-podsivkou-30-cm-10-111-041-18660")</f>
        <v>0.0</v>
      </c>
      <c r="E459" s="7" t="n">
        <f>HYPERLINK("https://www.somogyi.sk/data/img/product_main_images/small/18660.jpg","https://www.somogyi.sk/data/img/product_main_images/small/18660.jpg")</f>
        <v>0.0</v>
      </c>
      <c r="F459" s="2" t="inlineStr">
        <is>
          <t>5205746889352</t>
        </is>
      </c>
      <c r="G459" s="4" t="inlineStr">
        <is>
          <t xml:space="preserve"> • N/A: odolný voči vysokým teplotám 
 • rozmery: 30 x 19 cm 
 • hmotnosť: 0,15 kg 
 • N/A: aj v umývačke riadu</t>
        </is>
      </c>
    </row>
    <row r="460">
      <c r="A460" s="3" t="inlineStr">
        <is>
          <t>10-111-099</t>
        </is>
      </c>
      <c r="B460" s="2" t="inlineStr">
        <is>
          <t>"Misty" Sada vrecúšok na zdobenie torty 36 cm</t>
        </is>
      </c>
      <c r="C460" s="1" t="n">
        <v>3.89</v>
      </c>
      <c r="D460" s="7" t="n">
        <f>HYPERLINK("https://www.somogyi.sk/product/-misty-sada-vrecusok-na-zdobenie-torty-36-cm-10-111-099-18664","https://www.somogyi.sk/product/-misty-sada-vrecusok-na-zdobenie-torty-36-cm-10-111-099-18664")</f>
        <v>0.0</v>
      </c>
      <c r="E460" s="7" t="n">
        <f>HYPERLINK("https://www.somogyi.sk/data/img/product_main_images/small/18664.jpg","https://www.somogyi.sk/data/img/product_main_images/small/18664.jpg")</f>
        <v>0.0</v>
      </c>
      <c r="F460" s="2" t="inlineStr">
        <is>
          <t>5205746129878</t>
        </is>
      </c>
      <c r="G460" s="4" t="inlineStr">
        <is>
          <t xml:space="preserve"> • materiál: plast 
 • N/A: 9 ks 
 • kapacita: 0,5 liter 
 • rozmery: 36 x 23 cm 
 • hmotnosť: 0,04 kg 
 • N/A: aj v umývačke riadu</t>
        </is>
      </c>
    </row>
    <row r="461">
      <c r="A461" s="3" t="inlineStr">
        <is>
          <t>10-111-047</t>
        </is>
      </c>
      <c r="B461" s="2" t="inlineStr">
        <is>
          <t>"Misty" Plastový krájač na vajíčka s nerezovými drôtikmi 12 cm</t>
        </is>
      </c>
      <c r="C461" s="1" t="n">
        <v>3.09</v>
      </c>
      <c r="D461" s="7" t="n">
        <f>HYPERLINK("https://www.somogyi.sk/product/-misty-plastovy-krajac-na-vajicka-s-nerezovymi-drotikmi-12-cm-10-111-047-18657","https://www.somogyi.sk/product/-misty-plastovy-krajac-na-vajicka-s-nerezovymi-drotikmi-12-cm-10-111-047-18657")</f>
        <v>0.0</v>
      </c>
      <c r="E461" s="7" t="n">
        <f>HYPERLINK("https://www.somogyi.sk/data/img/product_main_images/small/18657.jpg","https://www.somogyi.sk/data/img/product_main_images/small/18657.jpg")</f>
        <v>0.0</v>
      </c>
      <c r="F461" s="2" t="inlineStr">
        <is>
          <t>5205746129595</t>
        </is>
      </c>
      <c r="G461" s="4" t="inlineStr">
        <is>
          <t xml:space="preserve"> • materiál: nehrdzavejúci oceľ a plast 
 • charakteristiky: počet oceľových drôtov: 10 
 • rozmery: 12 x 8,5 cm 
 • hmotnosť: 0,06 kg 
 • N/A: aj v umývačke riadu</t>
        </is>
      </c>
    </row>
    <row r="462">
      <c r="A462" s="6" t="inlineStr">
        <is>
          <t xml:space="preserve">   Zdravie, krása / Sonda na alkohol</t>
        </is>
      </c>
      <c r="B462" s="6" t="inlineStr">
        <is>
          <t/>
        </is>
      </c>
      <c r="C462" s="6" t="inlineStr">
        <is>
          <t/>
        </is>
      </c>
      <c r="D462" s="6" t="inlineStr">
        <is>
          <t/>
        </is>
      </c>
      <c r="E462" s="6" t="inlineStr">
        <is>
          <t/>
        </is>
      </c>
      <c r="F462" s="6" t="inlineStr">
        <is>
          <t/>
        </is>
      </c>
      <c r="G462" s="6" t="inlineStr">
        <is>
          <t/>
        </is>
      </c>
    </row>
    <row r="463">
      <c r="A463" s="3" t="inlineStr">
        <is>
          <t>94807</t>
        </is>
      </c>
      <c r="B463" s="2" t="inlineStr">
        <is>
          <t>Digitálna sonda na alkohol</t>
        </is>
      </c>
      <c r="C463" s="1" t="n">
        <v>19.99</v>
      </c>
      <c r="D463" s="7" t="n">
        <f>HYPERLINK("https://www.somogyi.sk/product/digitalna-sonda-na-alkohol-94807-14888","https://www.somogyi.sk/product/digitalna-sonda-na-alkohol-94807-14888")</f>
        <v>0.0</v>
      </c>
      <c r="E463" s="7" t="n">
        <f>HYPERLINK("https://www.somogyi.sk/data/img/product_main_images/small/14888.jpg","https://www.somogyi.sk/data/img/product_main_images/small/14888.jpg")</f>
        <v>0.0</v>
      </c>
      <c r="F463" s="2" t="inlineStr">
        <is>
          <t>8586017594807</t>
        </is>
      </c>
      <c r="G463" s="4" t="inlineStr">
        <is>
          <t xml:space="preserve"> • interval merania: 0,00 - 0,19% BAC 
 • presnosť merania: 0,01% BAC 
 • zvuková signalizácia: áno 
 • ostatné funkcie: rýchla reakcia, čas zahriatia: 10 mp, odpoveď &lt;5 mp 
 • napájanie: 2 x AAA batéria (nie je príslušenstvom)</t>
        </is>
      </c>
    </row>
    <row r="464">
      <c r="A464" s="6" t="inlineStr">
        <is>
          <t xml:space="preserve">   Zdravie, krása / Ph-tester</t>
        </is>
      </c>
      <c r="B464" s="6" t="inlineStr">
        <is>
          <t/>
        </is>
      </c>
      <c r="C464" s="6" t="inlineStr">
        <is>
          <t/>
        </is>
      </c>
      <c r="D464" s="6" t="inlineStr">
        <is>
          <t/>
        </is>
      </c>
      <c r="E464" s="6" t="inlineStr">
        <is>
          <t/>
        </is>
      </c>
      <c r="F464" s="6" t="inlineStr">
        <is>
          <t/>
        </is>
      </c>
      <c r="G464" s="6" t="inlineStr">
        <is>
          <t/>
        </is>
      </c>
    </row>
    <row r="465">
      <c r="A465" s="3" t="inlineStr">
        <is>
          <t>PHT 01</t>
        </is>
      </c>
      <c r="B465" s="2" t="inlineStr">
        <is>
          <t>pH tester a teplomer</t>
        </is>
      </c>
      <c r="C465" s="1" t="n">
        <v>13.59</v>
      </c>
      <c r="D465" s="7" t="n">
        <f>HYPERLINK("https://www.somogyi.sk/product/ph-tester-a-teplomer-pht-01-12038","https://www.somogyi.sk/product/ph-tester-a-teplomer-pht-01-12038")</f>
        <v>0.0</v>
      </c>
      <c r="E465" s="7" t="n">
        <f>HYPERLINK("https://www.somogyi.sk/data/img/product_main_images/small/12038.jpg","https://www.somogyi.sk/data/img/product_main_images/small/12038.jpg")</f>
        <v>0.0</v>
      </c>
      <c r="F465" s="2" t="inlineStr">
        <is>
          <t>5999084902506</t>
        </is>
      </c>
      <c r="G465" s="4" t="inlineStr">
        <is>
          <t xml:space="preserve"> • interval merania: pH 0,00 - 14,00 / 0 - 60 °C 
 • displej: LCD 4 digitový 
 • kalibrovanie: 1 presná kalibrácia 
 • kompenzácia teploty: automatická 
 • meracia hlavica: sklená elektróda 
 • príslušenstvo: ochranné puzdro, skrutkovače pre kalibráciu 
 • napájanie: 2 x LR44 (príslušenstvo) 
 • rozmery: 155 x 29 x 16 mm</t>
        </is>
      </c>
    </row>
    <row r="466">
      <c r="A466" s="6" t="inlineStr">
        <is>
          <t xml:space="preserve">   Zdravie, krása / Soľná lampa, kahanec</t>
        </is>
      </c>
      <c r="B466" s="6" t="inlineStr">
        <is>
          <t/>
        </is>
      </c>
      <c r="C466" s="6" t="inlineStr">
        <is>
          <t/>
        </is>
      </c>
      <c r="D466" s="6" t="inlineStr">
        <is>
          <t/>
        </is>
      </c>
      <c r="E466" s="6" t="inlineStr">
        <is>
          <t/>
        </is>
      </c>
      <c r="F466" s="6" t="inlineStr">
        <is>
          <t/>
        </is>
      </c>
      <c r="G466" s="6" t="inlineStr">
        <is>
          <t/>
        </is>
      </c>
    </row>
    <row r="467">
      <c r="A467" s="3" t="inlineStr">
        <is>
          <t>SKM 57</t>
        </is>
      </c>
      <c r="B467" s="2" t="inlineStr">
        <is>
          <t>Soľná lampa na kahance, 500-700g</t>
        </is>
      </c>
      <c r="C467" s="1" t="n">
        <v>3.79</v>
      </c>
      <c r="D467" s="7" t="n">
        <f>HYPERLINK("https://www.somogyi.sk/product/solna-lampa-na-kahance-500-700g-skm-57-7413","https://www.somogyi.sk/product/solna-lampa-na-kahance-500-700g-skm-57-7413")</f>
        <v>0.0</v>
      </c>
      <c r="E467" s="7" t="n">
        <f>HYPERLINK("https://www.somogyi.sk/data/img/product_main_images/small/07413.jpg","https://www.somogyi.sk/data/img/product_main_images/small/07413.jpg")</f>
        <v>0.0</v>
      </c>
      <c r="F467" s="2" t="inlineStr">
        <is>
          <t>5998312764022</t>
        </is>
      </c>
      <c r="G467" s="4" t="inlineStr">
        <is>
          <t xml:space="preserve"> • tvar soľnej lampy: skala 
 • hmotnosť: 0,5 - 0,7 kg 
 • drevený podstavec: nie</t>
        </is>
      </c>
    </row>
    <row r="468">
      <c r="A468" s="3" t="inlineStr">
        <is>
          <t>WS 2300</t>
        </is>
      </c>
      <c r="B468" s="2" t="inlineStr">
        <is>
          <t>Soľná lampa, 2-3kg</t>
        </is>
      </c>
      <c r="C468" s="1" t="n">
        <v>19.49</v>
      </c>
      <c r="D468" s="7" t="n">
        <f>HYPERLINK("https://www.somogyi.sk/product/solna-lampa-2-3kg-ws-2300-9125","https://www.somogyi.sk/product/solna-lampa-2-3kg-ws-2300-9125")</f>
        <v>0.0</v>
      </c>
      <c r="E468" s="7" t="n">
        <f>HYPERLINK("https://www.somogyi.sk/data/img/product_main_images/small/09125.jpg","https://www.somogyi.sk/data/img/product_main_images/small/09125.jpg")</f>
        <v>0.0</v>
      </c>
      <c r="F468" s="2" t="inlineStr">
        <is>
          <t>5998312779989</t>
        </is>
      </c>
      <c r="G468" s="4" t="inlineStr">
        <is>
          <t xml:space="preserve"> • tvar soľnej lampy: skala 
 • rozmer objímky: E14 
 • výkon: 15 W 
 • hmotnosť: 2 - 3 kg 
 • drevený podstavec: áno 
 • dĺžka napájacieho kábla: 1,5 m 
 • napájanie: 230 V~  / 50 Hz</t>
        </is>
      </c>
    </row>
    <row r="469">
      <c r="A469" s="3" t="inlineStr">
        <is>
          <t>SKL 12</t>
        </is>
      </c>
      <c r="B469" s="2" t="inlineStr">
        <is>
          <t>Soľná lampa, tvar kameňa, 1-2kg</t>
        </is>
      </c>
      <c r="C469" s="1" t="n">
        <v>16.29</v>
      </c>
      <c r="D469" s="7" t="n">
        <f>HYPERLINK("https://www.somogyi.sk/product/solna-lampa-tvar-kamena-1-2kg-skl-12-14378","https://www.somogyi.sk/product/solna-lampa-tvar-kamena-1-2kg-skl-12-14378")</f>
        <v>0.0</v>
      </c>
      <c r="E469" s="7" t="n">
        <f>HYPERLINK("https://www.somogyi.sk/data/img/product_main_images/small/14378.jpg","https://www.somogyi.sk/data/img/product_main_images/small/14378.jpg")</f>
        <v>0.0</v>
      </c>
      <c r="F469" s="2" t="inlineStr">
        <is>
          <t>5998250341200</t>
        </is>
      </c>
      <c r="G469" s="4" t="inlineStr">
        <is>
          <t xml:space="preserve"> • tvar soľnej lampy: skala 
 • rozmer objímky: E14 
 • výkon: 15 W 
 • hmotnosť: 1 - 2 kg 
 • drevený podstavec: áno 
 • dĺžka napájacieho kábla: 1,5 m 
 • napájanie: 230 V~  / 50 Hz</t>
        </is>
      </c>
    </row>
    <row r="470">
      <c r="A470" s="6" t="inlineStr">
        <is>
          <t xml:space="preserve">   Zdravie, krása / Fén na vlasy</t>
        </is>
      </c>
      <c r="B470" s="6" t="inlineStr">
        <is>
          <t/>
        </is>
      </c>
      <c r="C470" s="6" t="inlineStr">
        <is>
          <t/>
        </is>
      </c>
      <c r="D470" s="6" t="inlineStr">
        <is>
          <t/>
        </is>
      </c>
      <c r="E470" s="6" t="inlineStr">
        <is>
          <t/>
        </is>
      </c>
      <c r="F470" s="6" t="inlineStr">
        <is>
          <t/>
        </is>
      </c>
      <c r="G470" s="6" t="inlineStr">
        <is>
          <t/>
        </is>
      </c>
    </row>
    <row r="471">
      <c r="A471" s="3" t="inlineStr">
        <is>
          <t>HG HSZ 18</t>
        </is>
      </c>
      <c r="B471" s="2" t="inlineStr">
        <is>
          <t>Fén na vlasy</t>
        </is>
      </c>
      <c r="C471" s="1" t="n">
        <v>14.49</v>
      </c>
      <c r="D471" s="7" t="n">
        <f>HYPERLINK("https://www.somogyi.sk/product/fen-na-vlasy-hg-hsz-18-16786","https://www.somogyi.sk/product/fen-na-vlasy-hg-hsz-18-16786")</f>
        <v>0.0</v>
      </c>
      <c r="E471" s="7" t="n">
        <f>HYPERLINK("https://www.somogyi.sk/data/img/product_main_images/small/16786.jpg","https://www.somogyi.sk/data/img/product_main_images/small/16786.jpg")</f>
        <v>0.0</v>
      </c>
      <c r="F471" s="2" t="inlineStr">
        <is>
          <t>5999084948184</t>
        </is>
      </c>
      <c r="G471" s="4" t="inlineStr">
        <is>
          <t xml:space="preserve"> • výkon: 1400 W 
 • stupne teploty: 2 
 • stupne ventilátora: 2 
 • tlačidlo ventilátora a ohrevu: spolu 
 • skladací: áno 
 • príslušenstvo: redukcia 
 • možnosť zavesenia: áno 
 • napájanie: 220 - 240 V~ / 50 - 60 Hz 
 • ďalšie informácie: dĺžka napájacieho kábla: 1,65 m</t>
        </is>
      </c>
    </row>
    <row r="472">
      <c r="A472" s="3" t="inlineStr">
        <is>
          <t>HG HSZ 22</t>
        </is>
      </c>
      <c r="B472" s="2" t="inlineStr">
        <is>
          <t>Fén na vlasy, 2000 W, 2 rýchlosti, 3 stupne teploty, studený vzduch</t>
        </is>
      </c>
      <c r="C472" s="1" t="n">
        <v>20.29</v>
      </c>
      <c r="D472" s="7" t="n">
        <f>HYPERLINK("https://www.somogyi.sk/product/fen-na-vlasy-2000-w-2-rychlosti-3-stupne-teploty-studeny-vzduch-hg-hsz-22-16597","https://www.somogyi.sk/product/fen-na-vlasy-2000-w-2-rychlosti-3-stupne-teploty-studeny-vzduch-hg-hsz-22-16597")</f>
        <v>0.0</v>
      </c>
      <c r="E472" s="7" t="n">
        <f>HYPERLINK("https://www.somogyi.sk/data/img/product_main_images/small/16597.jpg","https://www.somogyi.sk/data/img/product_main_images/small/16597.jpg")</f>
        <v>0.0</v>
      </c>
      <c r="F472" s="2" t="inlineStr">
        <is>
          <t>5999084946296</t>
        </is>
      </c>
      <c r="G472" s="4" t="inlineStr">
        <is>
          <t xml:space="preserve"> • výkon: 1800-2200 W 
 • stupne teploty: 3 
 • stupne ventilátora: 2 
 • funkcia studeného vzduchu: áno 
 • príslušenstvo: redukcia 
 • možnosť zavesenia: áno 
 • napájanie: 230 V~</t>
        </is>
      </c>
    </row>
    <row r="473">
      <c r="A473" s="6" t="inlineStr">
        <is>
          <t xml:space="preserve">   Zdravie, krása / Osobná váha</t>
        </is>
      </c>
      <c r="B473" s="6" t="inlineStr">
        <is>
          <t/>
        </is>
      </c>
      <c r="C473" s="6" t="inlineStr">
        <is>
          <t/>
        </is>
      </c>
      <c r="D473" s="6" t="inlineStr">
        <is>
          <t/>
        </is>
      </c>
      <c r="E473" s="6" t="inlineStr">
        <is>
          <t/>
        </is>
      </c>
      <c r="F473" s="6" t="inlineStr">
        <is>
          <t/>
        </is>
      </c>
      <c r="G473" s="6" t="inlineStr">
        <is>
          <t/>
        </is>
      </c>
    </row>
    <row r="474">
      <c r="A474" s="3" t="inlineStr">
        <is>
          <t>HG FMZ 18</t>
        </is>
      </c>
      <c r="B474" s="2" t="inlineStr">
        <is>
          <t>Osobná váha</t>
        </is>
      </c>
      <c r="C474" s="1" t="n">
        <v>16.99</v>
      </c>
      <c r="D474" s="7" t="n">
        <f>HYPERLINK("https://www.somogyi.sk/product/osobna-vaha-hg-fmz-18-17767","https://www.somogyi.sk/product/osobna-vaha-hg-fmz-18-17767")</f>
        <v>0.0</v>
      </c>
      <c r="E474" s="7" t="n">
        <f>HYPERLINK("https://www.somogyi.sk/data/img/product_main_images/small/17767.jpg","https://www.somogyi.sk/data/img/product_main_images/small/17767.jpg")</f>
        <v>0.0</v>
      </c>
      <c r="F474" s="2" t="inlineStr">
        <is>
          <t>5999084957896</t>
        </is>
      </c>
      <c r="G474" s="4" t="inlineStr">
        <is>
          <t xml:space="preserve"> • meracia hranica: 180 kg 
 • presnosť merania: 0,1 kg 
 • pamäť: pre 12 osôb 
 • zobrazenie preťaženia: áno 
 • signalizácia nízkeho napätia batérií: áno 
 • displej: LCD 
 • automatické za-/vypnutie: áno 
 • rozmery: 30 x 30 cm 
 • napájanie: 2 x 1,5 V (AAA) tužková batéria, nie je príslušenstvom</t>
        </is>
      </c>
    </row>
    <row r="475">
      <c r="A475" s="3" t="inlineStr">
        <is>
          <t>DPS-202</t>
        </is>
      </c>
      <c r="B475" s="2" t="inlineStr">
        <is>
          <t>Digitálna osobná váha</t>
        </is>
      </c>
      <c r="C475" s="1" t="n">
        <v>14.49</v>
      </c>
      <c r="D475" s="7" t="n">
        <f>HYPERLINK("https://www.somogyi.sk/product/digitalna-osobna-vaha-dps-202-13073","https://www.somogyi.sk/product/digitalna-osobna-vaha-dps-202-13073")</f>
        <v>0.0</v>
      </c>
      <c r="E475" s="7" t="n">
        <f>HYPERLINK("https://www.somogyi.sk/data/img/product_main_images/small/13073.jpg","https://www.somogyi.sk/data/img/product_main_images/small/13073.jpg")</f>
        <v>0.0</v>
      </c>
      <c r="F475" s="2" t="inlineStr">
        <is>
          <t>5998777335430</t>
        </is>
      </c>
      <c r="G475" s="4" t="inlineStr">
        <is>
          <t xml:space="preserve"> • meracia hranica: 6 - 150 kg 
 • presnosť merania: 0,1 kg 
 • funkcie: meranie hmotnosti 
 • pamäť: nie 
 • zobrazenie preťaženia: áno 
 • signalizácia nízkeho napätia batérií: áno 
 • displej: LCD 
 • automatické za-/vypnutie: áno 
 • rozmery: kalená sklenená plocha: 29 x 28 x 0,6 cm, LCD displej: 73 x 28 mm 
 • napájanie: CR2032 batéria (príslušenstvo)</t>
        </is>
      </c>
    </row>
    <row r="476">
      <c r="A476" s="3" t="inlineStr">
        <is>
          <t>HG FM 12</t>
        </is>
      </c>
      <c r="B476" s="2" t="inlineStr">
        <is>
          <t>Osobná váha, max 180 kg</t>
        </is>
      </c>
      <c r="C476" s="1" t="n">
        <v>11.59</v>
      </c>
      <c r="D476" s="7" t="n">
        <f>HYPERLINK("https://www.somogyi.sk/product/osobna-vaha-max-180-kg-hg-fm-12-17552","https://www.somogyi.sk/product/osobna-vaha-max-180-kg-hg-fm-12-17552")</f>
        <v>0.0</v>
      </c>
      <c r="E476" s="7" t="n">
        <f>HYPERLINK("https://www.somogyi.sk/data/img/product_main_images/small/17552.jpg","https://www.somogyi.sk/data/img/product_main_images/small/17552.jpg")</f>
        <v>0.0</v>
      </c>
      <c r="F476" s="2" t="inlineStr">
        <is>
          <t>5999084955748</t>
        </is>
      </c>
      <c r="G476" s="4" t="inlineStr">
        <is>
          <t xml:space="preserve"> • meracia hranica: 180 kg 
 • presnosť merania: 0,1 kg 
 • zobrazenie preťaženia: áno 
 • signalizácia nízkeho napätia batérií: áno 
 • displej: LCD 
 • automatické za-/vypnutie: áno 
 • rozmery: 280 x 280 x 20 mm / LCD displej: 62 x 26 mm 
 • napájanie: 2 x 1,5 V (AAA) batéria, nie je príslušenstvom</t>
        </is>
      </c>
    </row>
    <row r="477">
      <c r="A477" s="6" t="inlineStr">
        <is>
          <t xml:space="preserve">   Zdravie, krása / Čistička vzduchu</t>
        </is>
      </c>
      <c r="B477" s="6" t="inlineStr">
        <is>
          <t/>
        </is>
      </c>
      <c r="C477" s="6" t="inlineStr">
        <is>
          <t/>
        </is>
      </c>
      <c r="D477" s="6" t="inlineStr">
        <is>
          <t/>
        </is>
      </c>
      <c r="E477" s="6" t="inlineStr">
        <is>
          <t/>
        </is>
      </c>
      <c r="F477" s="6" t="inlineStr">
        <is>
          <t/>
        </is>
      </c>
      <c r="G477" s="6" t="inlineStr">
        <is>
          <t/>
        </is>
      </c>
    </row>
    <row r="478">
      <c r="A478" s="3" t="inlineStr">
        <is>
          <t>AIR 20/S</t>
        </is>
      </c>
      <c r="B478" s="2" t="inlineStr">
        <is>
          <t>Filter k AIR 20</t>
        </is>
      </c>
      <c r="C478" s="1" t="n">
        <v>6.69</v>
      </c>
      <c r="D478" s="7" t="n">
        <f>HYPERLINK("https://www.somogyi.sk/product/filter-k-air-20-air-20-s-13578","https://www.somogyi.sk/product/filter-k-air-20-air-20-s-13578")</f>
        <v>0.0</v>
      </c>
      <c r="E478" s="7" t="n">
        <f>HYPERLINK("https://www.somogyi.sk/data/img/product_main_images/small/13578.jpg","https://www.somogyi.sk/data/img/product_main_images/small/13578.jpg")</f>
        <v>0.0</v>
      </c>
      <c r="F478" s="2" t="inlineStr">
        <is>
          <t>5999084916305</t>
        </is>
      </c>
      <c r="G478" s="4" t="inlineStr">
        <is>
          <t xml:space="preserve"> • rozmery: 65 x 95 x 25 mm, 65 x 95 x 40 mm 
 • ďalšie informácie: 4 stupňový filtračný systém k čističke vzduchu AIR 20</t>
        </is>
      </c>
    </row>
    <row r="479">
      <c r="A479" s="3" t="inlineStr">
        <is>
          <t>AIR 18 WIFI</t>
        </is>
      </c>
      <c r="B479" s="2" t="inlineStr">
        <is>
          <t>Čistička vzduchu</t>
        </is>
      </c>
      <c r="C479" s="1" t="n">
        <v>101.9</v>
      </c>
      <c r="D479" s="7" t="n">
        <f>HYPERLINK("https://www.somogyi.sk/product/cisticka-vzduchu-air-18-wifi-17774","https://www.somogyi.sk/product/cisticka-vzduchu-air-18-wifi-17774")</f>
        <v>0.0</v>
      </c>
      <c r="E479" s="7" t="n">
        <f>HYPERLINK("https://www.somogyi.sk/data/img/product_main_images/small/17774.jpg","https://www.somogyi.sk/data/img/product_main_images/small/17774.jpg")</f>
        <v>0.0</v>
      </c>
      <c r="F479" s="2" t="inlineStr">
        <is>
          <t>5999084957964</t>
        </is>
      </c>
      <c r="G479" s="4" t="inlineStr">
        <is>
          <t xml:space="preserve"> • dotykové tlačidlá: áno 
 • stupne rýchlosti: 3 
 •  
 • ionizátor: áno 
 • vymeniteľný filter vzduchu: 1 ks je príslušenstvom (AIR 18 WIFI/S) 
 • odporúčaná veľkosť miestnosti: max. 18 m2 
 • prietok vzduchu: 150 m3/h 
 • výkon: max. 28 W 
 • hlučnosť: max. 55 dB(A) 
 • napájanie: 230 V~ / 50 Hz 
 • rozmery: ∅213 x 280 mm</t>
        </is>
      </c>
    </row>
    <row r="480">
      <c r="A480" s="3" t="inlineStr">
        <is>
          <t>AIR 50/S</t>
        </is>
      </c>
      <c r="B480" s="2" t="inlineStr">
        <is>
          <t>Filter k AIR 50</t>
        </is>
      </c>
      <c r="C480" s="1" t="n">
        <v>26.09</v>
      </c>
      <c r="D480" s="7" t="n">
        <f>HYPERLINK("https://www.somogyi.sk/product/filter-k-air-50-air-50-s-17261","https://www.somogyi.sk/product/filter-k-air-50-air-50-s-17261")</f>
        <v>0.0</v>
      </c>
      <c r="E480" s="7" t="n">
        <f>HYPERLINK("https://www.somogyi.sk/data/img/product_main_images/small/17261.jpg","https://www.somogyi.sk/data/img/product_main_images/small/17261.jpg")</f>
        <v>0.0</v>
      </c>
      <c r="F480" s="2" t="inlineStr">
        <is>
          <t>5999084952839</t>
        </is>
      </c>
      <c r="G480" s="4" t="inlineStr">
        <is>
          <t xml:space="preserve"> • rozmery: Ø215x256 mm</t>
        </is>
      </c>
    </row>
    <row r="481">
      <c r="A481" s="3" t="inlineStr">
        <is>
          <t>AIR 18 WIFI/S</t>
        </is>
      </c>
      <c r="B481" s="2" t="inlineStr">
        <is>
          <t>Filter pre čističku vzduchu AIR 18 WIFI</t>
        </is>
      </c>
      <c r="C481" s="1" t="n">
        <v>15.39</v>
      </c>
      <c r="D481" s="7" t="n">
        <f>HYPERLINK("https://www.somogyi.sk/product/filter-pre-cisticku-vzduchu-air-18-wifi-air-18-wifi-s-17775","https://www.somogyi.sk/product/filter-pre-cisticku-vzduchu-air-18-wifi-air-18-wifi-s-17775")</f>
        <v>0.0</v>
      </c>
      <c r="E481" s="7" t="n">
        <f>HYPERLINK("https://www.somogyi.sk/data/img/product_main_images/small/17775.jpg","https://www.somogyi.sk/data/img/product_main_images/small/17775.jpg")</f>
        <v>0.0</v>
      </c>
      <c r="F481" s="2" t="inlineStr">
        <is>
          <t>5999084957971</t>
        </is>
      </c>
      <c r="G481" s="4" t="inlineStr">
        <is>
          <t xml:space="preserve"> • rozmery: ∅174 x 140 mm</t>
        </is>
      </c>
    </row>
    <row r="482">
      <c r="A482" s="3" t="inlineStr">
        <is>
          <t>AIR 50</t>
        </is>
      </c>
      <c r="B482" s="2" t="inlineStr">
        <is>
          <t>Čistička vzduchu, 400 m3/h, 50 m2</t>
        </is>
      </c>
      <c r="C482" s="1" t="n">
        <v>161.9</v>
      </c>
      <c r="D482" s="7" t="n">
        <f>HYPERLINK("https://www.somogyi.sk/product/cisticka-vzduchu-400-m3-h-50-m2-air-50-17260","https://www.somogyi.sk/product/cisticka-vzduchu-400-m3-h-50-m2-air-50-17260")</f>
        <v>0.0</v>
      </c>
      <c r="E482" s="7" t="n">
        <f>HYPERLINK("https://www.somogyi.sk/data/img/product_main_images/small/17260.jpg","https://www.somogyi.sk/data/img/product_main_images/small/17260.jpg")</f>
        <v>0.0</v>
      </c>
      <c r="F482" s="2" t="inlineStr">
        <is>
          <t>5999084952822</t>
        </is>
      </c>
      <c r="G482" s="4" t="inlineStr">
        <is>
          <t xml:space="preserve"> • dotykové tlačidlá: áno 
 •  
 • vymeniteľný filter vzduchu: 1 ks je príslušenstvom (AIR 50/S) 
 •  
 • odporúčaná veľkosť miestnosti: max. 50 m2 
 • prietok vzduchu: 400 m3/h 
 • výkon: max. 50 W 
 • N/A: 2/4/8 h časovač vypnutia 
 • hlučnosť: max. 56 dB(A) 
 • dĺžka napájacieho kábla: 1,5 m 
 • napájanie: 230 V~ / 50 Hz 
 • rozmery: 27 x 50 x 30,1 cm 
 •  
 • hmotnosť: 4,6 kg</t>
        </is>
      </c>
    </row>
    <row r="483">
      <c r="A483" s="6" t="inlineStr">
        <is>
          <t xml:space="preserve">   Zdravie, krása / Zastrihávač vlasov, strihač brady</t>
        </is>
      </c>
      <c r="B483" s="6" t="inlineStr">
        <is>
          <t/>
        </is>
      </c>
      <c r="C483" s="6" t="inlineStr">
        <is>
          <t/>
        </is>
      </c>
      <c r="D483" s="6" t="inlineStr">
        <is>
          <t/>
        </is>
      </c>
      <c r="E483" s="6" t="inlineStr">
        <is>
          <t/>
        </is>
      </c>
      <c r="F483" s="6" t="inlineStr">
        <is>
          <t/>
        </is>
      </c>
      <c r="G483" s="6" t="inlineStr">
        <is>
          <t/>
        </is>
      </c>
    </row>
    <row r="484">
      <c r="A484" s="3" t="inlineStr">
        <is>
          <t>HG HS 12</t>
        </is>
      </c>
      <c r="B484" s="2" t="inlineStr">
        <is>
          <t>Zastrihávač vlasov a chĺpkov</t>
        </is>
      </c>
      <c r="C484" s="1" t="n">
        <v>32.49</v>
      </c>
      <c r="D484" s="7" t="n">
        <f>HYPERLINK("https://www.somogyi.sk/product/zastrihavac-vlasov-a-chlpkov-hg-hs-12-17620","https://www.somogyi.sk/product/zastrihavac-vlasov-a-chlpkov-hg-hs-12-17620")</f>
        <v>0.0</v>
      </c>
      <c r="E484" s="7" t="n">
        <f>HYPERLINK("https://www.somogyi.sk/data/img/product_main_images/small/17620.jpg","https://www.somogyi.sk/data/img/product_main_images/small/17620.jpg")</f>
        <v>0.0</v>
      </c>
      <c r="F484" s="2" t="inlineStr">
        <is>
          <t>5999084956424</t>
        </is>
      </c>
      <c r="G484" s="4" t="inlineStr">
        <is>
          <t xml:space="preserve"> • nože: 5 vymeniteľných hláv: široká, normálna a presná strihacia hlava, zastrihávač nosných chĺpkov, holiaci prístroj 
 • nastavenia dĺžky: 7 plastových hrebeňov: zastrihávač vlasov 3, 6, 9, 12 mm / zastrihávač brady 4, 6, 8 mm 
 • napájanie: zabudovaný Li-ion akumulátor</t>
        </is>
      </c>
    </row>
    <row r="485">
      <c r="A485" s="3" t="inlineStr">
        <is>
          <t>HG TR 01</t>
        </is>
      </c>
      <c r="B485" s="2" t="inlineStr">
        <is>
          <t>Zastrihávač nosných chĺpkov</t>
        </is>
      </c>
      <c r="C485" s="1" t="n">
        <v>8.39</v>
      </c>
      <c r="D485" s="7" t="n">
        <f>HYPERLINK("https://www.somogyi.sk/product/zastrihavac-nosnych-chlpkov-hg-tr-01-17621","https://www.somogyi.sk/product/zastrihavac-nosnych-chlpkov-hg-tr-01-17621")</f>
        <v>0.0</v>
      </c>
      <c r="E485" s="7" t="n">
        <f>HYPERLINK("https://www.somogyi.sk/data/img/product_main_images/small/17621.jpg","https://www.somogyi.sk/data/img/product_main_images/small/17621.jpg")</f>
        <v>0.0</v>
      </c>
      <c r="F485" s="2" t="inlineStr">
        <is>
          <t>5999084956431</t>
        </is>
      </c>
      <c r="G485" s="4" t="inlineStr">
        <is>
          <t xml:space="preserve"> • rozmery: ∅2,5 x 16 cm 
 • napájanie: 1 x 1,5 V (AA) tužková batéria, nie je príslušenstvom</t>
        </is>
      </c>
    </row>
    <row r="486">
      <c r="A486" s="6" t="inlineStr">
        <is>
          <t xml:space="preserve">   Zdravie, krása / Elektrický ohrievač nôh, prikrívka</t>
        </is>
      </c>
      <c r="B486" s="6" t="inlineStr">
        <is>
          <t/>
        </is>
      </c>
      <c r="C486" s="6" t="inlineStr">
        <is>
          <t/>
        </is>
      </c>
      <c r="D486" s="6" t="inlineStr">
        <is>
          <t/>
        </is>
      </c>
      <c r="E486" s="6" t="inlineStr">
        <is>
          <t/>
        </is>
      </c>
      <c r="F486" s="6" t="inlineStr">
        <is>
          <t/>
        </is>
      </c>
      <c r="G486" s="6" t="inlineStr">
        <is>
          <t/>
        </is>
      </c>
    </row>
    <row r="487">
      <c r="A487" s="3" t="inlineStr">
        <is>
          <t>THA-HND-0013-G</t>
        </is>
      </c>
      <c r="B487" s="2" t="inlineStr">
        <is>
          <t>THAW, nabíjateľný ohrievač rúk, veľký</t>
        </is>
      </c>
      <c r="C487" s="1" t="n">
        <v>32.59</v>
      </c>
      <c r="D487" s="7" t="n">
        <f>HYPERLINK("https://www.somogyi.sk/product/thaw-nabijatelny-ohrievac-ruk-velky-tha-hnd-0013-g-18009","https://www.somogyi.sk/product/thaw-nabijatelny-ohrievac-ruk-velky-tha-hnd-0013-g-18009")</f>
        <v>0.0</v>
      </c>
      <c r="E487" s="7" t="n">
        <f>HYPERLINK("https://www.somogyi.sk/data/img/product_main_images/small/18009.jpg","https://www.somogyi.sk/data/img/product_main_images/small/18009.jpg")</f>
        <v>0.0</v>
      </c>
      <c r="F487" s="2" t="inlineStr">
        <is>
          <t>5060063229508</t>
        </is>
      </c>
      <c r="G487" s="4" t="inlineStr">
        <is>
          <t xml:space="preserve"> • typy prevádzok: 3 režimy: • Low: 46 °C, cca. 17 h prevádzkový čas • Medium: 53 °C, cca. 14 h prevádzkový čas • High: 60 °C, cca. 10 h prevádzkový čas 
 • funkcie: powerbank 
 • kapacita akumulátora: 10.000 mAh 
 • balenie: 1 ks 
 • napájanie: zabudovaný akumulátor 
 • rozmery: 10,5 x 7 x 3 cm 
 • príslušenstvo: USB C kábel je príslušenstvom 
 • hmotnosť: 220 g</t>
        </is>
      </c>
    </row>
    <row r="488">
      <c r="A488" s="3" t="inlineStr">
        <is>
          <t>THA-FOT-0004-G</t>
        </is>
      </c>
      <c r="B488" s="2" t="inlineStr">
        <is>
          <t>THAW, jednorazová ohrievacia vložka prstov na nohách, 2 ks / balenie</t>
        </is>
      </c>
      <c r="C488" s="1" t="n">
        <v>1.59</v>
      </c>
      <c r="D488" s="7" t="n">
        <f>HYPERLINK("https://www.somogyi.sk/product/thaw-jednorazova-ohrievacia-vlozka-prstov-na-nohach-2-ks-balenie-tha-fot-0004-g-18006","https://www.somogyi.sk/product/thaw-jednorazova-ohrievacia-vlozka-prstov-na-nohach-2-ks-balenie-tha-fot-0004-g-18006")</f>
        <v>0.0</v>
      </c>
      <c r="E488" s="7" t="n">
        <f>HYPERLINK("https://www.somogyi.sk/data/img/product_main_images/small/18006.jpg","https://www.somogyi.sk/data/img/product_main_images/small/18006.jpg")</f>
        <v>0.0</v>
      </c>
      <c r="F488" s="2" t="inlineStr">
        <is>
          <t>5060063229492</t>
        </is>
      </c>
      <c r="G488" s="4" t="inlineStr">
        <is>
          <t xml:space="preserve"> • funkcie: jedna strana je samolepiaca 
 • prevádzka: po rozbalení sa aktivuje kontaktom s kyslíkom 
 • teplota: ohrieva cca. do 57 °C 
 • balenie: 2 ks / balenie • 40 balení / displej • Dá sa objednať iba v displeji!</t>
        </is>
      </c>
    </row>
    <row r="489">
      <c r="A489" s="3" t="inlineStr">
        <is>
          <t>F55</t>
        </is>
      </c>
      <c r="B489" s="2" t="inlineStr">
        <is>
          <t>Pekatherm, Vyhrievacia papuča, 27x30x23 cm</t>
        </is>
      </c>
      <c r="C489" s="1" t="n">
        <v>44.59</v>
      </c>
      <c r="D489" s="7" t="n">
        <f>HYPERLINK("https://www.somogyi.sk/product/pekatherm-vyhrievacia-papuca-27x30x23-cm-f55-18302","https://www.somogyi.sk/product/pekatherm-vyhrievacia-papuca-27x30x23-cm-f55-18302")</f>
        <v>0.0</v>
      </c>
      <c r="E489" s="7" t="n">
        <f>HYPERLINK("https://www.somogyi.sk/data/img/product_main_images/small/18302.jpg","https://www.somogyi.sk/data/img/product_main_images/small/18302.jpg")</f>
        <v>0.0</v>
      </c>
      <c r="F489" s="2" t="inlineStr">
        <is>
          <t>8436531910556</t>
        </is>
      </c>
      <c r="G489" s="4" t="inlineStr">
        <is>
          <t xml:space="preserve"> • výkon: max.100 W 
 • typy prevádzok: 3 stupne ohrevu 
 • napájanie: 220-240 V~ / 50 Hz 
 • rozmery: 27 x 30 x 23 cm 
 • materiál: polyester</t>
        </is>
      </c>
    </row>
    <row r="490">
      <c r="A490" s="3" t="inlineStr">
        <is>
          <t>THA-HND-0014-G</t>
        </is>
      </c>
      <c r="B490" s="2" t="inlineStr">
        <is>
          <t>THAW Nabíjateľný ohrievač rúk, power banka   svietidlo, veľký</t>
        </is>
      </c>
      <c r="C490" s="1" t="n">
        <v>34.69</v>
      </c>
      <c r="D490" s="7" t="n">
        <f>HYPERLINK("https://www.somogyi.sk/product/thaw-nabijatelny-ohrievac-ruk-power-banka-svietidlo-velky-tha-hnd-0014-g-19062","https://www.somogyi.sk/product/thaw-nabijatelny-ohrievac-ruk-power-banka-svietidlo-velky-tha-hnd-0014-g-19062")</f>
        <v>0.0</v>
      </c>
      <c r="E490" s="7" t="n">
        <f>HYPERLINK("https://www.somogyi.sk/data/img/product_main_images/small/19062.jpg","https://www.somogyi.sk/data/img/product_main_images/small/19062.jpg")</f>
        <v>0.0</v>
      </c>
      <c r="F490" s="2" t="inlineStr">
        <is>
          <t>5060945232435</t>
        </is>
      </c>
      <c r="G490" s="4"/>
    </row>
    <row r="491">
      <c r="A491" s="3" t="inlineStr">
        <is>
          <t>UP117D</t>
        </is>
      </c>
      <c r="B491" s="2" t="inlineStr">
        <is>
          <t>Pekatherm, Elektrická vyhrievaná plachta, odpojiteľný kontroler,  170x90 cm</t>
        </is>
      </c>
      <c r="C491" s="1" t="n">
        <v>40.79</v>
      </c>
      <c r="D491" s="7" t="n">
        <f>HYPERLINK("https://www.somogyi.sk/product/pekatherm-elektricka-vyhrievana-plachta-odpojitelny-kontroler-170x90-cm-up117d-18300","https://www.somogyi.sk/product/pekatherm-elektricka-vyhrievana-plachta-odpojitelny-kontroler-170x90-cm-up117d-18300")</f>
        <v>0.0</v>
      </c>
      <c r="E491" s="7" t="n">
        <f>HYPERLINK("https://www.somogyi.sk/data/img/product_main_images/small/18300.jpg","https://www.somogyi.sk/data/img/product_main_images/small/18300.jpg")</f>
        <v>0.0</v>
      </c>
      <c r="F491" s="2" t="inlineStr">
        <is>
          <t>8436531911225</t>
        </is>
      </c>
      <c r="G491" s="4" t="inlineStr">
        <is>
          <t xml:space="preserve"> • výkon: max.60 W 
 • typy prevádzok: 3 stupne ohrevu 
 • napájanie: 220-240 V~ / 50 Hz 
 • rozmery: 170 x 90 cm 
 • materiál: polyester</t>
        </is>
      </c>
    </row>
    <row r="492">
      <c r="A492" s="3" t="inlineStr">
        <is>
          <t>THA-BOD-0015-G</t>
        </is>
      </c>
      <c r="B492" s="2" t="inlineStr">
        <is>
          <t>THAW, vyhrievaný sedák s akumulátorom</t>
        </is>
      </c>
      <c r="C492" s="1" t="n">
        <v>61.49</v>
      </c>
      <c r="D492" s="7" t="n">
        <f>HYPERLINK("https://www.somogyi.sk/product/thaw-vyhrievany-sedak-s-akumulatorom-tha-bod-0015-g-18010","https://www.somogyi.sk/product/thaw-vyhrievany-sedak-s-akumulatorom-tha-bod-0015-g-18010")</f>
        <v>0.0</v>
      </c>
      <c r="E492" s="7" t="n">
        <f>HYPERLINK("https://www.somogyi.sk/data/img/product_main_images/small/18010.jpg","https://www.somogyi.sk/data/img/product_main_images/small/18010.jpg")</f>
        <v>0.0</v>
      </c>
      <c r="F492" s="2" t="inlineStr">
        <is>
          <t>5060063229553</t>
        </is>
      </c>
      <c r="G492" s="4" t="inlineStr">
        <is>
          <t xml:space="preserve"> • prevádzka: 3 režimy: • Low: 43 °C • Medium: 52 °C • High: 58 °C 
 • rozmery: 38 x 38 x 5 cm • hmotnosť (bez powerbankl): 360 g</t>
        </is>
      </c>
    </row>
    <row r="493">
      <c r="A493" s="6" t="inlineStr">
        <is>
          <t>Bytové doplnky</t>
        </is>
      </c>
      <c r="B493" s="6" t="inlineStr">
        <is>
          <t/>
        </is>
      </c>
      <c r="C493" s="6" t="inlineStr">
        <is>
          <t/>
        </is>
      </c>
      <c r="D493" s="6" t="inlineStr">
        <is>
          <t/>
        </is>
      </c>
      <c r="E493" s="6" t="inlineStr">
        <is>
          <t/>
        </is>
      </c>
      <c r="F493" s="6" t="inlineStr">
        <is>
          <t/>
        </is>
      </c>
      <c r="G493" s="6" t="inlineStr">
        <is>
          <t/>
        </is>
      </c>
    </row>
    <row r="494">
      <c r="A494" s="3" t="inlineStr">
        <is>
          <t>WF 01</t>
        </is>
      </c>
      <c r="B494" s="2" t="inlineStr">
        <is>
          <t>Interiérová fontána, 48 cm</t>
        </is>
      </c>
      <c r="C494" s="1" t="n">
        <v>63.99</v>
      </c>
      <c r="D494" s="7" t="n">
        <f>HYPERLINK("https://www.somogyi.sk/product/interierova-fontana-48-cm-wf-01-17262","https://www.somogyi.sk/product/interierova-fontana-48-cm-wf-01-17262")</f>
        <v>0.0</v>
      </c>
      <c r="E494" s="7" t="n">
        <f>HYPERLINK("https://www.somogyi.sk/data/img/product_main_images/small/17262.jpg","https://www.somogyi.sk/data/img/product_main_images/small/17262.jpg")</f>
        <v>0.0</v>
      </c>
      <c r="F494" s="2" t="inlineStr">
        <is>
          <t>5999084952846</t>
        </is>
      </c>
      <c r="G494" s="4" t="inlineStr">
        <is>
          <t xml:space="preserve"> • materiál: polyresin 
 • na vnútorné použitie 
 • teplé biele LED 
 • napájanie: sieťový adaptér, je príslušenstvom 
 • rozmery: 29,5 x 48 x 23 cm</t>
        </is>
      </c>
    </row>
    <row r="495">
      <c r="A495" s="3" t="inlineStr">
        <is>
          <t>WF 02</t>
        </is>
      </c>
      <c r="B495" s="2" t="inlineStr">
        <is>
          <t>Interiérová fontána, 47,8 cm</t>
        </is>
      </c>
      <c r="C495" s="1" t="n">
        <v>68.19</v>
      </c>
      <c r="D495" s="7" t="n">
        <f>HYPERLINK("https://www.somogyi.sk/product/interierova-fontana-47-8-cm-wf-02-17263","https://www.somogyi.sk/product/interierova-fontana-47-8-cm-wf-02-17263")</f>
        <v>0.0</v>
      </c>
      <c r="E495" s="7" t="n">
        <f>HYPERLINK("https://www.somogyi.sk/data/img/product_main_images/small/17263.jpg","https://www.somogyi.sk/data/img/product_main_images/small/17263.jpg")</f>
        <v>0.0</v>
      </c>
      <c r="F495" s="2" t="inlineStr">
        <is>
          <t>5999084952853</t>
        </is>
      </c>
      <c r="G495" s="4" t="inlineStr">
        <is>
          <t xml:space="preserve"> • materiál: polyresin 
 • na vnútorné použitie 
 • teplé biele LED 
 • napájanie: sieťový adaptér, je príslušenstvom 
 • rozmery: 30,5 x 47,8 x 25,5 cm</t>
        </is>
      </c>
    </row>
    <row r="496">
      <c r="A496" s="6" t="inlineStr">
        <is>
          <t xml:space="preserve">   Bytové doplnky / Poplašné zariadenie, príslušenstvo</t>
        </is>
      </c>
      <c r="B496" s="6" t="inlineStr">
        <is>
          <t/>
        </is>
      </c>
      <c r="C496" s="6" t="inlineStr">
        <is>
          <t/>
        </is>
      </c>
      <c r="D496" s="6" t="inlineStr">
        <is>
          <t/>
        </is>
      </c>
      <c r="E496" s="6" t="inlineStr">
        <is>
          <t/>
        </is>
      </c>
      <c r="F496" s="6" t="inlineStr">
        <is>
          <t/>
        </is>
      </c>
      <c r="G496" s="6" t="inlineStr">
        <is>
          <t/>
        </is>
      </c>
    </row>
    <row r="497">
      <c r="A497" s="3" t="inlineStr">
        <is>
          <t>HS 64</t>
        </is>
      </c>
      <c r="B497" s="2" t="inlineStr">
        <is>
          <t>Pohybový senzor</t>
        </is>
      </c>
      <c r="C497" s="1" t="n">
        <v>4.49</v>
      </c>
      <c r="D497" s="7" t="n">
        <f>HYPERLINK("https://www.somogyi.sk/product/pohybovy-senzor-hs-64-6650","https://www.somogyi.sk/product/pohybovy-senzor-hs-64-6650")</f>
        <v>0.0</v>
      </c>
      <c r="E497" s="7" t="n">
        <f>HYPERLINK("https://www.somogyi.sk/data/img/product_main_images/small/06650.jpg","https://www.somogyi.sk/data/img/product_main_images/small/06650.jpg")</f>
        <v>0.0</v>
      </c>
      <c r="F497" s="2" t="inlineStr">
        <is>
          <t>5998312756898</t>
        </is>
      </c>
      <c r="G497" s="4" t="inlineStr">
        <is>
          <t xml:space="preserve"> • bezdrôtové: nie 
 • Rf dosah na otvorenom teréne: - 
 • prevádzková frekvencia: - 
 • funkcie: pohybový senzor 
 • pohybový senzor na centrálnej jednotke: nie 
 • LCD displej: nie 
 • diaľkové ovládanie z telefónu: nie 
 • nastaviteľný čas oneskorenia: nie 
 • nemý alarm: nie 
 • kompatibilita: centrálne jednotky: HSM 700, HS 800, HS 700, HS 70, HS60 
 • príslušenstvo: 15 m vedenia 
 • napájanie: z centrály 
 • rozmery: 81 x 141 x 50 mm</t>
        </is>
      </c>
    </row>
    <row r="498">
      <c r="A498" s="3" t="inlineStr">
        <is>
          <t>HSS 110</t>
        </is>
      </c>
      <c r="B498" s="2" t="inlineStr">
        <is>
          <t>Imitácia vonkajšej bezpečnostnej sirény</t>
        </is>
      </c>
      <c r="C498" s="1" t="n">
        <v>21.19</v>
      </c>
      <c r="D498" s="7" t="n">
        <f>HYPERLINK("https://www.somogyi.sk/product/imitacia-vonkajsej-bezpecnostnej-sireny-hss-110-17781","https://www.somogyi.sk/product/imitacia-vonkajsej-bezpecnostnej-sireny-hss-110-17781")</f>
        <v>0.0</v>
      </c>
      <c r="E498" s="7" t="n">
        <f>HYPERLINK("https://www.somogyi.sk/data/img/product_main_images/small/17781.jpg","https://www.somogyi.sk/data/img/product_main_images/small/17781.jpg")</f>
        <v>0.0</v>
      </c>
      <c r="F498" s="2" t="inlineStr">
        <is>
          <t>5999084958039</t>
        </is>
      </c>
      <c r="G498" s="4" t="inlineStr">
        <is>
          <t xml:space="preserve"> • reálny vzhľad sirény 
 • na vonkajšie a vnútorné použitie 
 • ochrana proti vode (IP44) 
 • stabilné, masívne prevedenie 
 • priebežne blikajúca červená LED, dobre viditeľná aj z diaľky 
 • jednoduché uvedenie do prevádzky 
 • napájanie: 3 x 1,5 V (AA) batéria, nie je príslušenstvom 
 • 200 x 280 x 95 mm</t>
        </is>
      </c>
    </row>
    <row r="499">
      <c r="A499" s="3" t="inlineStr">
        <is>
          <t>HS 61</t>
        </is>
      </c>
      <c r="B499" s="2" t="inlineStr">
        <is>
          <t>Diaľkový ovládač</t>
        </is>
      </c>
      <c r="C499" s="1" t="n">
        <v>2.29</v>
      </c>
      <c r="D499" s="7" t="n">
        <f>HYPERLINK("https://www.somogyi.sk/product/dialkovy-ovladac-hs-61-6646","https://www.somogyi.sk/product/dialkovy-ovladac-hs-61-6646")</f>
        <v>0.0</v>
      </c>
      <c r="E499" s="7" t="n">
        <f>HYPERLINK("https://www.somogyi.sk/data/img/product_main_images/small/06646.jpg","https://www.somogyi.sk/data/img/product_main_images/small/06646.jpg")</f>
        <v>0.0</v>
      </c>
      <c r="F499" s="2" t="inlineStr">
        <is>
          <t>5998312756850</t>
        </is>
      </c>
      <c r="G499" s="4" t="inlineStr">
        <is>
          <t xml:space="preserve"> • bezdrôtové: nie 
 • Rf dosah na otvorenom teréne: - 
 • prevádzková frekvencia: - 
 • funkcie: diaľkový ovládač 
 • pohybový senzor na centrálnej jednotke: nie 
 • LCD displej: nie 
 • diaľkové ovládanie z telefónu: nie 
 • nastaviteľný čas oneskorenia: nie 
 • nemý alarm: nie 
 • kompatibilita: centrálne jednotky: HS60, HS 50 
 • príslušenstvo: batéria 
 • napájanie: 4 x LR44 
 • rozmery: 67 x 45 x 15 mm</t>
        </is>
      </c>
    </row>
    <row r="500">
      <c r="A500" s="6" t="inlineStr">
        <is>
          <t xml:space="preserve">   Bytové doplnky / Signalizátor vstupu, poplašné zariadenie</t>
        </is>
      </c>
      <c r="B500" s="6" t="inlineStr">
        <is>
          <t/>
        </is>
      </c>
      <c r="C500" s="6" t="inlineStr">
        <is>
          <t/>
        </is>
      </c>
      <c r="D500" s="6" t="inlineStr">
        <is>
          <t/>
        </is>
      </c>
      <c r="E500" s="6" t="inlineStr">
        <is>
          <t/>
        </is>
      </c>
      <c r="F500" s="6" t="inlineStr">
        <is>
          <t/>
        </is>
      </c>
      <c r="G500" s="6" t="inlineStr">
        <is>
          <t/>
        </is>
      </c>
    </row>
    <row r="501">
      <c r="A501" s="3" t="inlineStr">
        <is>
          <t>HSB 120 R</t>
        </is>
      </c>
      <c r="B501" s="2" t="inlineStr">
        <is>
          <t>Bezdrôtový signalizátor vstupu s diaľkovým ovládačom</t>
        </is>
      </c>
      <c r="C501" s="1" t="n">
        <v>30.99</v>
      </c>
      <c r="D501" s="7" t="n">
        <f>HYPERLINK("https://www.somogyi.sk/product/bezdrotovy-signalizator-vstupu-s-dialkovym-ovladacom-hsb-120-r-17074","https://www.somogyi.sk/product/bezdrotovy-signalizator-vstupu-s-dialkovym-ovladacom-hsb-120-r-17074")</f>
        <v>0.0</v>
      </c>
      <c r="E501" s="7" t="n">
        <f>HYPERLINK("https://www.somogyi.sk/data/img/product_main_images/small/17074.jpg","https://www.somogyi.sk/data/img/product_main_images/small/17074.jpg")</f>
        <v>0.0</v>
      </c>
      <c r="F501" s="2" t="inlineStr">
        <is>
          <t>5999084951061</t>
        </is>
      </c>
      <c r="G501" s="4" t="inlineStr">
        <is>
          <t xml:space="preserve"> • bezdrôtové: áno 
 • Rf dosah na otvorenom teréne: 120 m 
 • prevádzková frekvencia: 433,9 MHz 
 • typ senzora: PIR 
 • IP ochrana: IP44 
 •  
 • rozmery: 140 x 90 x 45 mm / 95 x 65 x 33 mm (na vnútorné / vonkajšie použitie)</t>
        </is>
      </c>
    </row>
    <row r="502">
      <c r="A502" s="3" t="inlineStr">
        <is>
          <t>HS12</t>
        </is>
      </c>
      <c r="B502" s="2" t="inlineStr">
        <is>
          <t>Senzor otvorenia dverí/okien, s diaľ. ovládačom</t>
        </is>
      </c>
      <c r="C502" s="1" t="n">
        <v>15.99</v>
      </c>
      <c r="D502" s="7" t="n">
        <f>HYPERLINK("https://www.somogyi.sk/product/senzor-otvorenia-dveri-okien-s-dial-ovladacom-hs12-18391","https://www.somogyi.sk/product/senzor-otvorenia-dveri-okien-s-dial-ovladacom-hs12-18391")</f>
        <v>0.0</v>
      </c>
      <c r="E502" s="7" t="n">
        <f>HYPERLINK("https://www.somogyi.sk/data/img/product_main_images/small/18391.jpg","https://www.somogyi.sk/data/img/product_main_images/small/18391.jpg")</f>
        <v>0.0</v>
      </c>
      <c r="F502" s="2" t="inlineStr">
        <is>
          <t>5999084964092</t>
        </is>
      </c>
      <c r="G502" s="4" t="inlineStr">
        <is>
          <t xml:space="preserve"> • bezdrôtové: áno 
 • funkcie: MULTIFUNKČNÁ OCHRANA 4v1: 30s alebo nepretržitý alarm až do zatvorenia dverí, režim alarmu vstupu ding-dong, varuje pred otvorenými dverami, možnosť okamžitého alarmu paniky 
 • Rf dosah na otvorenom teréne: ~20 m 
 • prevádzková frekvencia: 433,92 MHz / ERP ≤1 mW 
 •  
 • akustický tlak: ~100 dB(A) max. / 1 m 
 • regulátor hlasitosti: 5 stupňov</t>
        </is>
      </c>
    </row>
    <row r="503">
      <c r="A503" s="3" t="inlineStr">
        <is>
          <t>HS 21</t>
        </is>
      </c>
      <c r="B503" s="2" t="inlineStr">
        <is>
          <t>Signalizátor/alarm otvorenia dverí, okna</t>
        </is>
      </c>
      <c r="C503" s="1" t="n">
        <v>11.29</v>
      </c>
      <c r="D503" s="7" t="n">
        <f>HYPERLINK("https://www.somogyi.sk/product/signalizator-alarm-otvorenia-dveri-okna-hs-21-6474","https://www.somogyi.sk/product/signalizator-alarm-otvorenia-dveri-okna-hs-21-6474")</f>
        <v>0.0</v>
      </c>
      <c r="E503" s="7" t="n">
        <f>HYPERLINK("https://www.somogyi.sk/data/img/product_main_images/small/06474.jpg","https://www.somogyi.sk/data/img/product_main_images/small/06474.jpg")</f>
        <v>0.0</v>
      </c>
      <c r="F503" s="2" t="inlineStr">
        <is>
          <t>5998312755204</t>
        </is>
      </c>
      <c r="G503" s="4" t="inlineStr">
        <is>
          <t xml:space="preserve"> • funkcie: signalizátor vstupu / alarm 
 • typ senzora: magnetický 
 • typ signalizácie: zvuk 
 • príslušenstvo: senzor, magnet, gombíková batéria 
 • napájanie: 3 x LR44</t>
        </is>
      </c>
    </row>
    <row r="504">
      <c r="A504" s="3" t="inlineStr">
        <is>
          <t>HS 11</t>
        </is>
      </c>
      <c r="B504" s="2" t="inlineStr">
        <is>
          <t>Signalizátor vstupu s nástennou konzolou</t>
        </is>
      </c>
      <c r="C504" s="1" t="n">
        <v>15.89</v>
      </c>
      <c r="D504" s="7" t="n">
        <f>HYPERLINK("https://www.somogyi.sk/product/signalizator-vstupu-s-nastennou-konzolou-hs-11-6472","https://www.somogyi.sk/product/signalizator-vstupu-s-nastennou-konzolou-hs-11-6472")</f>
        <v>0.0</v>
      </c>
      <c r="E504" s="7" t="n">
        <f>HYPERLINK("https://www.somogyi.sk/data/img/product_main_images/small/06472.jpg","https://www.somogyi.sk/data/img/product_main_images/small/06472.jpg")</f>
        <v>0.0</v>
      </c>
      <c r="F504" s="2" t="inlineStr">
        <is>
          <t>5998312755181</t>
        </is>
      </c>
      <c r="G504" s="4" t="inlineStr">
        <is>
          <t xml:space="preserve"> • bezdrôtové: nie 
 • typ senzora: fotosenzor 
 • dosah: 4 - 5 m 
 • typ signalizácie: zvuk (tichý / hlasný / vypnutie) 
 • príslušenstvo: nástenná konzola 
 • napájanie: 4 x AA, adaptér: 6 V DC / 300 mA</t>
        </is>
      </c>
    </row>
    <row r="505">
      <c r="A505" s="6" t="inlineStr">
        <is>
          <t xml:space="preserve">   Bytové doplnky / Húkačka, bzučiak</t>
        </is>
      </c>
      <c r="B505" s="6" t="inlineStr">
        <is>
          <t/>
        </is>
      </c>
      <c r="C505" s="6" t="inlineStr">
        <is>
          <t/>
        </is>
      </c>
      <c r="D505" s="6" t="inlineStr">
        <is>
          <t/>
        </is>
      </c>
      <c r="E505" s="6" t="inlineStr">
        <is>
          <t/>
        </is>
      </c>
      <c r="F505" s="6" t="inlineStr">
        <is>
          <t/>
        </is>
      </c>
      <c r="G505" s="6" t="inlineStr">
        <is>
          <t/>
        </is>
      </c>
    </row>
    <row r="506">
      <c r="A506" s="3" t="inlineStr">
        <is>
          <t>SZ 3-1</t>
        </is>
      </c>
      <c r="B506" s="2" t="inlineStr">
        <is>
          <t xml:space="preserve">Húkačka, 1 melódia </t>
        </is>
      </c>
      <c r="C506" s="1" t="n">
        <v>12.09</v>
      </c>
      <c r="D506" s="7" t="n">
        <f>HYPERLINK("https://www.somogyi.sk/product/hukacka-1-melodia-sz-3-1-1902","https://www.somogyi.sk/product/hukacka-1-melodia-sz-3-1-1902")</f>
        <v>0.0</v>
      </c>
      <c r="E506" s="7" t="n">
        <f>HYPERLINK("https://www.somogyi.sk/data/img/product_main_images/small/01902.jpg","https://www.somogyi.sk/data/img/product_main_images/small/01902.jpg")</f>
        <v>0.0</v>
      </c>
      <c r="F506" s="2" t="inlineStr">
        <is>
          <t>5998312704592</t>
        </is>
      </c>
      <c r="G506" s="4" t="inlineStr">
        <is>
          <t xml:space="preserve"> • výkon: 20 W 
 • hlasitosť: 108 dB 
 • hlas: 1 melódia 
 • napájanie: 6 - 15 V DC 
 • rozmery: Ø87 x 104 x 112</t>
        </is>
      </c>
    </row>
    <row r="507">
      <c r="A507" s="3" t="inlineStr">
        <is>
          <t>Z 2</t>
        </is>
      </c>
      <c r="B507" s="2" t="inlineStr">
        <is>
          <t>Bzučiak, 12V, piezo</t>
        </is>
      </c>
      <c r="C507" s="1" t="n">
        <v>2.89</v>
      </c>
      <c r="D507" s="7" t="n">
        <f>HYPERLINK("https://www.somogyi.sk/product/bzuciak-12v-piezo-z-2-2033","https://www.somogyi.sk/product/bzuciak-12v-piezo-z-2-2033")</f>
        <v>0.0</v>
      </c>
      <c r="E507" s="7" t="n">
        <f>HYPERLINK("https://www.somogyi.sk/data/img/product_main_images/small/02033.jpg","https://www.somogyi.sk/data/img/product_main_images/small/02033.jpg")</f>
        <v>0.0</v>
      </c>
      <c r="F507" s="2" t="inlineStr">
        <is>
          <t>5998312721384</t>
        </is>
      </c>
      <c r="G507" s="4" t="inlineStr">
        <is>
          <t xml:space="preserve"> • výkon: - 
 • hlasitosť: 85 dB / 30 cm 
 • hlas: bzučiak 
 • napájanie: 1,5 - 12 V DC 
 • rozmery: Ø22 x 10 mm</t>
        </is>
      </c>
    </row>
    <row r="508">
      <c r="A508" s="3" t="inlineStr">
        <is>
          <t>SZ 1-1</t>
        </is>
      </c>
      <c r="B508" s="2" t="inlineStr">
        <is>
          <t xml:space="preserve">Húkačka, 1 melódia </t>
        </is>
      </c>
      <c r="C508" s="1" t="n">
        <v>6.99</v>
      </c>
      <c r="D508" s="7" t="n">
        <f>HYPERLINK("https://www.somogyi.sk/product/hukacka-1-melodia-sz-1-1-1901","https://www.somogyi.sk/product/hukacka-1-melodia-sz-1-1-1901")</f>
        <v>0.0</v>
      </c>
      <c r="E508" s="7" t="n">
        <f>HYPERLINK("https://www.somogyi.sk/data/img/product_main_images/small/01901.jpg","https://www.somogyi.sk/data/img/product_main_images/small/01901.jpg")</f>
        <v>0.0</v>
      </c>
      <c r="F508" s="2" t="inlineStr">
        <is>
          <t>5998312704585</t>
        </is>
      </c>
      <c r="G508" s="4" t="inlineStr">
        <is>
          <t xml:space="preserve"> • výkon: 20 W 
 • hlasitosť: 100 dB 
 • hlas: 1 melódia 
 • napájanie: 6 - 16 V DC 
 • rozmery: 45 x 40 x 60 mm</t>
        </is>
      </c>
    </row>
    <row r="509">
      <c r="A509" s="6" t="inlineStr">
        <is>
          <t xml:space="preserve">   Bytové doplnky / Smart kamera</t>
        </is>
      </c>
      <c r="B509" s="6" t="inlineStr">
        <is>
          <t/>
        </is>
      </c>
      <c r="C509" s="6" t="inlineStr">
        <is>
          <t/>
        </is>
      </c>
      <c r="D509" s="6" t="inlineStr">
        <is>
          <t/>
        </is>
      </c>
      <c r="E509" s="6" t="inlineStr">
        <is>
          <t/>
        </is>
      </c>
      <c r="F509" s="6" t="inlineStr">
        <is>
          <t/>
        </is>
      </c>
      <c r="G509" s="6" t="inlineStr">
        <is>
          <t/>
        </is>
      </c>
    </row>
    <row r="510">
      <c r="A510" s="3" t="inlineStr">
        <is>
          <t>HGWIP-212</t>
        </is>
      </c>
      <c r="B510" s="2" t="inlineStr">
        <is>
          <t>Homeguard, Indoor 2K Pan &amp; tilt aI Security Camera</t>
        </is>
      </c>
      <c r="C510" s="1" t="n">
        <v>53.39</v>
      </c>
      <c r="D510" s="7" t="n">
        <f>HYPERLINK("https://www.somogyi.sk/product/homeguard-indoor-2k-pan-tilt-ai-security-camera-hgwip-212-18568","https://www.somogyi.sk/product/homeguard-indoor-2k-pan-tilt-ai-security-camera-hgwip-212-18568")</f>
        <v>0.0</v>
      </c>
      <c r="E510" s="7" t="n">
        <f>HYPERLINK("https://www.somogyi.sk/data/img/product_main_images/small/18568.jpg","https://www.somogyi.sk/data/img/product_main_images/small/18568.jpg")</f>
        <v>0.0</v>
      </c>
      <c r="F510" s="2" t="inlineStr">
        <is>
          <t>5060442172135</t>
        </is>
      </c>
      <c r="G510" s="4" t="inlineStr">
        <is>
          <t xml:space="preserve"> • wifi: áno (2,4 GHz) 
 • N/A: 110° široký pozorovací uhol 
 • N/A: 1/3" Progressive Scan CMOS 
 • N/A: Homeguardlive 
 • N/A: digitálny, 8x 
 • nočný režim: dosah snímania v noci: do 8 m 
 • húkačka: zabudovaný 
 • umiestnenie: na vnútorné použitie 
 • ďalšie informácie: obojsmerná zvuková komunikácia: mikrofón a reproduktor 
 • N/A: AI detekcia objektov (človek/vozidlo/domáce zviera) • lokálne úložisko: micro SD karta, až 256 GB • cloudové úložisko: 30 dní bezplatného nahrávania 
 • napájanie: DC 5V / 1A, &lt;6W 
 • N/A: -20 -  40 C° / vlhkosť vzduchu: 10-90% 
 • rozmery: 82 mm x 82 mm x 112 mm 
 • hmotnosť: 180 g</t>
        </is>
      </c>
    </row>
    <row r="511">
      <c r="A511" s="3" t="inlineStr">
        <is>
          <t>WILDCAM1</t>
        </is>
      </c>
      <c r="B511" s="2" t="inlineStr">
        <is>
          <t>Poľovnícka a monitorovacia kamera</t>
        </is>
      </c>
      <c r="C511" s="1" t="n">
        <v>42.49</v>
      </c>
      <c r="D511" s="7" t="n">
        <f>HYPERLINK("https://www.somogyi.sk/product/polovnicka-a-monitorovacia-kamera-wildcam1-18582","https://www.somogyi.sk/product/polovnicka-a-monitorovacia-kamera-wildcam1-18582")</f>
        <v>0.0</v>
      </c>
      <c r="E511" s="7" t="n">
        <f>HYPERLINK("https://www.somogyi.sk/data/img/product_main_images/small/18582.jpg","https://www.somogyi.sk/data/img/product_main_images/small/18582.jpg")</f>
        <v>0.0</v>
      </c>
      <c r="F511" s="2" t="inlineStr">
        <is>
          <t>5999084966003</t>
        </is>
      </c>
      <c r="G511" s="4" t="inlineStr">
        <is>
          <t xml:space="preserve"> • N/A: 100° 
 • N/A: 1,3 Mp CMOS 
 • N/A: 2.0" / 320x240 
 • nočný režim: áno 
 • senzor pohybu: PIR ~130°, dosah &lt;10 m, ideálny 6-8 m 
 • ďalšie informácie: 3v1: záznam na pohyb, manuálny a time-lapse režim • infračervený reflektor, 38 LED • časovač záznamu • dátum, čas, fáza mesiaca, teplota na snímkach • veľmi nízka spotreba v pohotovostnom režime • externý zdroj napájania DC: 6 V / 2 A, nie je príslušenstvom 
 • N/A: IP66 
 • rozmery: 13,6 x 9,9 x 6,5 cm 
 • hmotnosť: 260 g</t>
        </is>
      </c>
    </row>
    <row r="512">
      <c r="A512" s="3" t="inlineStr">
        <is>
          <t>HGWOB-253</t>
        </is>
      </c>
      <c r="B512" s="2" t="inlineStr">
        <is>
          <t>Homeguard,Outdoor 2k Pan &amp; Tilt Zoom AI Security Camera</t>
        </is>
      </c>
      <c r="C512" s="1" t="n">
        <v>74.79</v>
      </c>
      <c r="D512" s="7" t="n">
        <f>HYPERLINK("https://www.somogyi.sk/product/homeguard-outdoor-2k-pan-tilt-zoom-ai-security-camera-hgwob-253-18571","https://www.somogyi.sk/product/homeguard-outdoor-2k-pan-tilt-zoom-ai-security-camera-hgwob-253-18571")</f>
        <v>0.0</v>
      </c>
      <c r="E512" s="7" t="n">
        <f>HYPERLINK("https://www.somogyi.sk/data/img/product_main_images/small/18571.jpg","https://www.somogyi.sk/data/img/product_main_images/small/18571.jpg")</f>
        <v>0.0</v>
      </c>
      <c r="F512" s="2" t="inlineStr">
        <is>
          <t>5060442172531</t>
        </is>
      </c>
      <c r="G512" s="4" t="inlineStr">
        <is>
          <t xml:space="preserve"> • wifi: áno (2,4 GHz) 
 • N/A: 110° široký pozorovací uhol 
 • N/A: 1/3" Progressive Scan CMOS 
 • N/A: Homeguardlive 
 • N/A: digitálny, 16x 
 • nočný režim: do 20 m 
 • funkcie: AI detekcia objektov: človek / vozidlo / domáce zviera 
 • húkačka: zabudovaný 
 • umiestnenie: na vonkajšie použitie 
 • ďalšie informácie: obojsmerná zvuková komunikácia: mikrofón a reproduktor 
 • napájanie: DC 5V / 1A, &lt;4,5W 
 • N/A: IP 66 
 • N/A: -10 -  50 C° / vlhkosť vzduchu: 10-90% 
 • rozmery: 160 x 155 x 100 mm 
 • hmotnosť: 450 g</t>
        </is>
      </c>
    </row>
    <row r="513">
      <c r="A513" s="3" t="inlineStr">
        <is>
          <t>HGWNK-88102</t>
        </is>
      </c>
      <c r="B513" s="2" t="inlineStr">
        <is>
          <t>Homeguard, Smart Deterrencre Wire-free Security System</t>
        </is>
      </c>
      <c r="C513" s="1" t="n">
        <v>342.9</v>
      </c>
      <c r="D513" s="7" t="n">
        <f>HYPERLINK("https://www.somogyi.sk/product/homeguard-smart-deterrencre-wire-free-security-system-hgwnk-88102-18572","https://www.somogyi.sk/product/homeguard-smart-deterrencre-wire-free-security-system-hgwnk-88102-18572")</f>
        <v>0.0</v>
      </c>
      <c r="E513" s="7" t="n">
        <f>HYPERLINK("https://www.somogyi.sk/data/img/product_main_images/small/18572.jpg","https://www.somogyi.sk/data/img/product_main_images/small/18572.jpg")</f>
        <v>0.0</v>
      </c>
      <c r="F513" s="2" t="inlineStr">
        <is>
          <t>5060442178113</t>
        </is>
      </c>
      <c r="G513" s="4" t="inlineStr">
        <is>
          <t xml:space="preserve"> • wifi: 2,4 GHz Wi-Fi (IEEE802.11 b/g/n) 
 • N/A: 1 x LAN port (RJ45 Ethernet port), 2 x USB 2.0 port 
 • funkcie: AI vnímanie človeka 
 • N/A: 2,5" HDD a podpora MicroSD karty max. 256 GB 
 •  
 • napájanie: DC 12V, 2A 
 • N/A: 0 -  40 C° / vlhkosť vzduchu: 20-85% 
 • rozmery: 142 x 102 x 160 mm 
 • hmotnosť: 320 g</t>
        </is>
      </c>
    </row>
    <row r="514">
      <c r="A514" s="3" t="inlineStr">
        <is>
          <t>HGBSP-350</t>
        </is>
      </c>
      <c r="B514" s="2" t="inlineStr">
        <is>
          <t>Homeguard, Solar Panel Charger</t>
        </is>
      </c>
      <c r="C514" s="1" t="n">
        <v>25.59</v>
      </c>
      <c r="D514" s="7" t="n">
        <f>HYPERLINK("https://www.somogyi.sk/product/homeguard-solar-panel-charger-hgbsp-350-18570","https://www.somogyi.sk/product/homeguard-solar-panel-charger-hgbsp-350-18570")</f>
        <v>0.0</v>
      </c>
      <c r="E514" s="7" t="n">
        <f>HYPERLINK("https://www.somogyi.sk/data/img/product_main_images/small/18570.jpg","https://www.somogyi.sk/data/img/product_main_images/small/18570.jpg")</f>
        <v>0.0</v>
      </c>
      <c r="F514" s="2" t="inlineStr">
        <is>
          <t>5060442173507</t>
        </is>
      </c>
      <c r="G514" s="4" t="inlineStr">
        <is>
          <t xml:space="preserve"> • výkon: 3,2 W 
 • kompatibilita: HGWNK-108402, HGWNK-108404, HGWNK-108406, HGWNK-88102, HGWNK-88104, és HGWNK-88106 
 • N/A: 360° nastaviteľná nosná konzola 
 • N/A: IP 66 
 • rozmery: 185 x 120 x 6,5 mm 
 • hmotnosť: 274 g 
 • dĺžka kábla: 4 m</t>
        </is>
      </c>
    </row>
    <row r="515">
      <c r="A515" s="3" t="inlineStr">
        <is>
          <t>HGWBK-353</t>
        </is>
      </c>
      <c r="B515" s="2" t="inlineStr">
        <is>
          <t>Homeguard kamera pre systém HGWNK-88102</t>
        </is>
      </c>
      <c r="C515" s="1" t="n">
        <v>88.99</v>
      </c>
      <c r="D515" s="7" t="n">
        <f>HYPERLINK("https://www.somogyi.sk/product/homeguard-kamera-pre-system-hgwnk-88102-hgwbk-353-18573","https://www.somogyi.sk/product/homeguard-kamera-pre-system-hgwnk-88102-hgwbk-353-18573")</f>
        <v>0.0</v>
      </c>
      <c r="E515" s="7" t="n">
        <f>HYPERLINK("https://www.somogyi.sk/data/img/product_main_images/small/18573.jpg","https://www.somogyi.sk/data/img/product_main_images/small/18573.jpg")</f>
        <v>0.0</v>
      </c>
      <c r="F515" s="2" t="inlineStr">
        <is>
          <t>5060442173538</t>
        </is>
      </c>
      <c r="G515" s="4" t="inlineStr">
        <is>
          <t xml:space="preserve"> • N/A: 140° široký pozorovací uhol 
 • N/A: 1/2,7" Progressive Scan CMOS 
 • N/A: 2,8 mm fixná šošovka 
 •  
 • kompatibilita: HGWNK-88102 
 • húkačka: zabudovaný (100 dB) 
 • ďalšie informácie: obojsmerná zvuková komunikácia: mikrofón a reproduktor 
 •  
 • čas prevádzky: až 365 dní 
 • N/A: IP 66 
 • N/A: -20 -  50 C° / vlhkosť vzduchu: &lt;90% 
 • rozmery: 52 mm x 125,5 mm x 78mm 
 • hmotnosť: 450 g</t>
        </is>
      </c>
    </row>
    <row r="516">
      <c r="A516" s="3" t="inlineStr">
        <is>
          <t>HGWBK-353RB</t>
        </is>
      </c>
      <c r="B516" s="2" t="inlineStr">
        <is>
          <t>Homeguard nabíjateľný akumulátor</t>
        </is>
      </c>
      <c r="C516" s="1" t="n">
        <v>27.39</v>
      </c>
      <c r="D516" s="7" t="n">
        <f>HYPERLINK("https://www.somogyi.sk/product/homeguard-nabijatelny-akumulator-hgwbk-353rb-18574","https://www.somogyi.sk/product/homeguard-nabijatelny-akumulator-hgwbk-353rb-18574")</f>
        <v>0.0</v>
      </c>
      <c r="E516" s="7" t="n">
        <f>HYPERLINK("https://www.somogyi.sk/data/img/product_main_images/small/18574.jpg","https://www.somogyi.sk/data/img/product_main_images/small/18574.jpg")</f>
        <v>0.0</v>
      </c>
      <c r="F516" s="2" t="inlineStr">
        <is>
          <t>5060442173545</t>
        </is>
      </c>
      <c r="G516" s="4" t="inlineStr">
        <is>
          <t xml:space="preserve"> • N/A: 5 V 
 • kapacita: 11600 mAh 
 • rozmery: 72,5 mm x 46,5 mm x 40 mm 
 • hmotnosť: 210 g</t>
        </is>
      </c>
    </row>
    <row r="517">
      <c r="A517" s="3" t="inlineStr">
        <is>
          <t>HGWOB-256</t>
        </is>
      </c>
      <c r="B517" s="2" t="inlineStr">
        <is>
          <t>Homeguard, In/Outdoor 2K AI All-weather Security Camera</t>
        </is>
      </c>
      <c r="C517" s="1" t="n">
        <v>47.39</v>
      </c>
      <c r="D517" s="7" t="n">
        <f>HYPERLINK("https://www.somogyi.sk/product/homeguard-in-outdoor-2k-ai-all-weather-security-camera-hgwob-256-18569","https://www.somogyi.sk/product/homeguard-in-outdoor-2k-ai-all-weather-security-camera-hgwob-256-18569")</f>
        <v>0.0</v>
      </c>
      <c r="E517" s="7" t="n">
        <f>HYPERLINK("https://www.somogyi.sk/data/img/product_main_images/small/18569.jpg","https://www.somogyi.sk/data/img/product_main_images/small/18569.jpg")</f>
        <v>0.0</v>
      </c>
      <c r="F517" s="2" t="inlineStr">
        <is>
          <t>5060442172562</t>
        </is>
      </c>
      <c r="G517" s="4" t="inlineStr">
        <is>
          <t xml:space="preserve"> • wifi: áno (2,4 GHz) 
 • N/A: 110° široký pozorovací uhol 
 • N/A: 1 / 2,9" Progressive Scan CMOS 
 • N/A: Homeguardlive 
 • nočný režim: do 15 m 
 • funkcie: AI detekcia objektov: človek / vozidlo / domáce zviera 
 • húkačka: zabudovaný 
 • umiestnenie: na vnútorné/vonkajšie použitie 
 • ďalšie informácie: obojsmerná zvuková komunikácia: mikrofón a reproduktor 
 • napájanie: DC 5V / 1A, &lt;3,6W 
 • N/A: IP 66 
 • N/A: -10 -  50 C° / vlhkosť vzduchu: 10-90% 
 • rozmery: 60 x 60 x 124 mm 
 • hmotnosť: 173 g</t>
        </is>
      </c>
    </row>
    <row r="518">
      <c r="A518" s="6" t="inlineStr">
        <is>
          <t xml:space="preserve">   Bytové doplnky / Imitácia bezpečnostnej kamery</t>
        </is>
      </c>
      <c r="B518" s="6" t="inlineStr">
        <is>
          <t/>
        </is>
      </c>
      <c r="C518" s="6" t="inlineStr">
        <is>
          <t/>
        </is>
      </c>
      <c r="D518" s="6" t="inlineStr">
        <is>
          <t/>
        </is>
      </c>
      <c r="E518" s="6" t="inlineStr">
        <is>
          <t/>
        </is>
      </c>
      <c r="F518" s="6" t="inlineStr">
        <is>
          <t/>
        </is>
      </c>
      <c r="G518" s="6" t="inlineStr">
        <is>
          <t/>
        </is>
      </c>
    </row>
    <row r="519">
      <c r="A519" s="3" t="inlineStr">
        <is>
          <t>HSK 120</t>
        </is>
      </c>
      <c r="B519" s="2" t="inlineStr">
        <is>
          <t>Imitácia bezpečn. kamery</t>
        </is>
      </c>
      <c r="C519" s="1" t="n">
        <v>5.39</v>
      </c>
      <c r="D519" s="7" t="n">
        <f>HYPERLINK("https://www.somogyi.sk/product/imitacia-bezpecn-kamery-hsk-120-10280","https://www.somogyi.sk/product/imitacia-bezpecn-kamery-hsk-120-10280")</f>
        <v>0.0</v>
      </c>
      <c r="E519" s="7" t="n">
        <f>HYPERLINK("https://www.somogyi.sk/data/img/product_main_images/small/10280.jpg","https://www.somogyi.sk/data/img/product_main_images/small/10280.jpg")</f>
        <v>0.0</v>
      </c>
      <c r="F519" s="2" t="inlineStr">
        <is>
          <t>5998312788899</t>
        </is>
      </c>
      <c r="G519" s="4" t="inlineStr">
        <is>
          <t xml:space="preserve"> • možnosť vonkajšieho použitia: nie 
 • senzor: pohyb 
 • aktivita kamery: pri snímaní bliká LED kontrolka 
 • materiál: plast 
 • napájanie: 2 x AA (nie je príslušenstvo)</t>
        </is>
      </c>
    </row>
    <row r="520">
      <c r="A520" s="3" t="inlineStr">
        <is>
          <t>HSK 140</t>
        </is>
      </c>
      <c r="B520" s="2" t="inlineStr">
        <is>
          <t>Vonkajšia imitácia kamery so svietidlom</t>
        </is>
      </c>
      <c r="C520" s="1" t="n">
        <v>15.69</v>
      </c>
      <c r="D520" s="7" t="n">
        <f>HYPERLINK("https://www.somogyi.sk/product/vonkajsia-imitacia-kamery-so-svietidlom-hsk-140-17854","https://www.somogyi.sk/product/vonkajsia-imitacia-kamery-so-svietidlom-hsk-140-17854")</f>
        <v>0.0</v>
      </c>
      <c r="E520" s="7" t="n">
        <f>HYPERLINK("https://www.somogyi.sk/data/img/product_main_images/small/17854.jpg","https://www.somogyi.sk/data/img/product_main_images/small/17854.jpg")</f>
        <v>0.0</v>
      </c>
      <c r="F520" s="2" t="inlineStr">
        <is>
          <t>5999084958763</t>
        </is>
      </c>
      <c r="G520" s="4" t="inlineStr">
        <is>
          <t xml:space="preserve"> • možnosť vonkajšieho použitia: áno 
 •  
 • napájanie: 3 x 1,5 V (AAA) batéria, nie je príslušenstvom 
 • ochrana proti vode: IP44 
 • rozmery: ∅70 x 143 mm 
 • hmotnosť: 120 g 
 • príslušenstvo: sada skrutiek</t>
        </is>
      </c>
    </row>
    <row r="521">
      <c r="A521" s="3" t="inlineStr">
        <is>
          <t>HSK 110</t>
        </is>
      </c>
      <c r="B521" s="2" t="inlineStr">
        <is>
          <t>Imitácia exteriérovej kamery</t>
        </is>
      </c>
      <c r="C521" s="1" t="n">
        <v>12.79</v>
      </c>
      <c r="D521" s="7" t="n">
        <f>HYPERLINK("https://www.somogyi.sk/product/imitacia-exterierovej-kamery-hsk-110-10279","https://www.somogyi.sk/product/imitacia-exterierovej-kamery-hsk-110-10279")</f>
        <v>0.0</v>
      </c>
      <c r="E521" s="7" t="n">
        <f>HYPERLINK("https://www.somogyi.sk/data/img/product_main_images/small/10279.jpg","https://www.somogyi.sk/data/img/product_main_images/small/10279.jpg")</f>
        <v>0.0</v>
      </c>
      <c r="F521" s="2" t="inlineStr">
        <is>
          <t>5998312788882</t>
        </is>
      </c>
      <c r="G521" s="4" t="inlineStr">
        <is>
          <t xml:space="preserve"> • možnosť vonkajšieho použitia: áno 
 • senzor: - 
 • aktivita kamery: priebežne blikajúca LED kontrolka 
 • materiál: plast 
 • napájanie: 2 x AA (nie je príslušenstvo)</t>
        </is>
      </c>
    </row>
    <row r="522">
      <c r="A522" s="3" t="inlineStr">
        <is>
          <t>HSK 130</t>
        </is>
      </c>
      <c r="B522" s="2" t="inlineStr">
        <is>
          <t>Vonkajšia solárna atrapa kamery</t>
        </is>
      </c>
      <c r="C522" s="1" t="n">
        <v>18.89</v>
      </c>
      <c r="D522" s="7" t="n">
        <f>HYPERLINK("https://www.somogyi.sk/product/vonkajsia-solarna-atrapa-kamery-hsk-130-17586","https://www.somogyi.sk/product/vonkajsia-solarna-atrapa-kamery-hsk-130-17586")</f>
        <v>0.0</v>
      </c>
      <c r="E522" s="7" t="n">
        <f>HYPERLINK("https://www.somogyi.sk/data/img/product_main_images/small/17586.jpg","https://www.somogyi.sk/data/img/product_main_images/small/17586.jpg")</f>
        <v>0.0</v>
      </c>
      <c r="F522" s="2" t="inlineStr">
        <is>
          <t>5999084956080</t>
        </is>
      </c>
      <c r="G522" s="4" t="inlineStr">
        <is>
          <t xml:space="preserve"> • možnosť vonkajšieho použitia: áno 
 • aktivita kamery: priebežne blikajúca červená LED 
 • materiál: plast 
 • napájanie: 2 x AA (1,5 V) nabíjateľný akumulátor, nie je príslušenstvom 
 • rozmery: https://www.somogyi.hu/data/product_documents/17586_1_03_04.pdf 
 • ďalšie informácie: VĎAKA SOLÁRNEMU DOBÍJANIU SI NEVYŽADUJE ČASTÚ VÝMENU BATÉRIE, IDEÁLNA PRE VYSOKÚ MONTÁŽ* • realistický vzhľad bezpečnostnej kamery • ochrana proti vode (IP44) • stabilný, masívny dizajn • kamera sa dá nakláňať a otáčať • možno inštalovať rôznymi spôsobmi na vodorovných a zvislých plochách • uvedenie do prevádzky v priebehu niekoľkých minút • príslušenstvo: sada skrutiek, inštalačný materiál • *solárny panel nabíja 2 AA (1,5V) batérie, ktoré je potrebné zakúpiť samostatne</t>
        </is>
      </c>
    </row>
    <row r="523">
      <c r="A523" s="3" t="inlineStr">
        <is>
          <t>HSK150</t>
        </is>
      </c>
      <c r="B523" s="2" t="inlineStr">
        <is>
          <t>Imitácia kamery, biela farba</t>
        </is>
      </c>
      <c r="C523" s="1" t="n">
        <v>9.49</v>
      </c>
      <c r="D523" s="7" t="n">
        <f>HYPERLINK("https://www.somogyi.sk/product/imitacia-kamery-biela-farba-hsk150-19008","https://www.somogyi.sk/product/imitacia-kamery-biela-farba-hsk150-19008")</f>
        <v>0.0</v>
      </c>
      <c r="E523" s="7" t="n">
        <f>HYPERLINK("https://www.somogyi.sk/data/img/product_main_images/small/19008.jpg","https://www.somogyi.sk/data/img/product_main_images/small/19008.jpg")</f>
        <v>0.0</v>
      </c>
      <c r="F523" s="2" t="inlineStr">
        <is>
          <t>5999084970024</t>
        </is>
      </c>
      <c r="G523" s="4" t="inlineStr">
        <is>
          <t xml:space="preserve"> • napájanie: 3 x AA (1.5V) batéria 
 • rozmery: ∅125 mm x 85 mm 
 • príslušenstvo: sada skrutiek 
 • ďalšie informácie: šablóna na montáž je príslušenstvom</t>
        </is>
      </c>
    </row>
    <row r="524">
      <c r="A524" s="6" t="inlineStr">
        <is>
          <t xml:space="preserve">   Bytové doplnky / Video vchodový telefón</t>
        </is>
      </c>
      <c r="B524" s="6" t="inlineStr">
        <is>
          <t/>
        </is>
      </c>
      <c r="C524" s="6" t="inlineStr">
        <is>
          <t/>
        </is>
      </c>
      <c r="D524" s="6" t="inlineStr">
        <is>
          <t/>
        </is>
      </c>
      <c r="E524" s="6" t="inlineStr">
        <is>
          <t/>
        </is>
      </c>
      <c r="F524" s="6" t="inlineStr">
        <is>
          <t/>
        </is>
      </c>
      <c r="G524" s="6" t="inlineStr">
        <is>
          <t/>
        </is>
      </c>
    </row>
    <row r="525">
      <c r="A525" s="3" t="inlineStr">
        <is>
          <t>DPV260</t>
        </is>
      </c>
      <c r="B525" s="2" t="inlineStr">
        <is>
          <t>Vchodový videotelefón</t>
        </is>
      </c>
      <c r="C525" s="1" t="n">
        <v>118.9</v>
      </c>
      <c r="D525" s="7" t="n">
        <f>HYPERLINK("https://www.somogyi.sk/product/vchodovy-videotelefon-dpv260-18922","https://www.somogyi.sk/product/vchodovy-videotelefon-dpv260-18922")</f>
        <v>0.0</v>
      </c>
      <c r="E525" s="7" t="n">
        <f>HYPERLINK("https://www.somogyi.sk/data/img/product_main_images/small/18922.jpg","https://www.somogyi.sk/data/img/product_main_images/small/18922.jpg")</f>
        <v>0.0</v>
      </c>
      <c r="F525" s="2" t="inlineStr">
        <is>
          <t>5999084969165</t>
        </is>
      </c>
      <c r="G525" s="4" t="inlineStr">
        <is>
          <t xml:space="preserve"> • rozmer displeja: 7” (17,8 cm) 
 • rozlíšenie displeja: 1024 x 600 TFT LCD 
 •  
 • vedenia: 4-žilový vodič medzi vonkajšou a vnútornou jednotkou 
 •  
 • nastaviteľná hlasitosť: nastaviteľná hlasitosť zvonenia • nastaviteľná citlivosť mikrofónu a hlasitosť reči 
 •  
 • možnosť rozšírenia: 2 vonkajšie jednotky s kamerami (pri kúpe viacerých súprav), 4 monitory (ak sú zakúpené viaceré súpravy), možno rozšíriť o ďalšie monitorovacie kamery (voliteľné) 
 • napájanie: 100-240 V~/ 50-60 Hz</t>
        </is>
      </c>
    </row>
    <row r="526">
      <c r="A526" s="3" t="inlineStr">
        <is>
          <t>DPV 270RFID</t>
        </is>
      </c>
      <c r="B526" s="2" t="inlineStr">
        <is>
          <t>Bezdrôtové kľúče RFID k DPV 270</t>
        </is>
      </c>
      <c r="C526" s="1" t="n">
        <v>9.19</v>
      </c>
      <c r="D526" s="7" t="n">
        <f>HYPERLINK("https://www.somogyi.sk/product/bezdrotove-kluce-rfid-k-dpv-270-dpv-270rfid-17673","https://www.somogyi.sk/product/bezdrotove-kluce-rfid-k-dpv-270-dpv-270rfid-17673")</f>
        <v>0.0</v>
      </c>
      <c r="E526" s="7" t="n">
        <f>HYPERLINK("https://www.somogyi.sk/data/img/product_main_images/small/17673.jpg","https://www.somogyi.sk/data/img/product_main_images/small/17673.jpg")</f>
        <v>0.0</v>
      </c>
      <c r="F526" s="2" t="inlineStr">
        <is>
          <t>5999084956950</t>
        </is>
      </c>
      <c r="G526" s="4" t="inlineStr">
        <is>
          <t xml:space="preserve"> • ďalšie informácie: 5 modrých USER kľúčov na otvorenie • 1 červený kľúč (CLEAN) na vymazanie všetkých kariet zo systému naraz • 1 žltý kľúč (ADD) na pridanie modrých kľúčov • RFID 125 kHz / max. 10-30 mm • stratené alebo poškodené kľúče je možné vymeniť • so systémom je možné spárovať maximálne 24 kľúčov</t>
        </is>
      </c>
    </row>
    <row r="527">
      <c r="A527" s="3" t="inlineStr">
        <is>
          <t>DPV SMART</t>
        </is>
      </c>
      <c r="B527" s="2" t="inlineStr">
        <is>
          <t>Vchodový videotelefón, 7" dotyková obrazovka</t>
        </is>
      </c>
      <c r="C527" s="1" t="n">
        <v>213.9</v>
      </c>
      <c r="D527" s="7" t="n">
        <f>HYPERLINK("https://www.somogyi.sk/product/vchodovy-videotelefon-7-dotykova-obrazovka-dpv-smart-18308","https://www.somogyi.sk/product/vchodovy-videotelefon-7-dotykova-obrazovka-dpv-smart-18308")</f>
        <v>0.0</v>
      </c>
      <c r="E527" s="7" t="n">
        <f>HYPERLINK("https://www.somogyi.sk/data/img/product_main_images/small/18308.jpg","https://www.somogyi.sk/data/img/product_main_images/small/18308.jpg")</f>
        <v>0.0</v>
      </c>
      <c r="F527" s="2" t="inlineStr">
        <is>
          <t>5999084963309</t>
        </is>
      </c>
      <c r="G527" s="4" t="inlineStr">
        <is>
          <t xml:space="preserve"> • rozmer displeja: 7” (17,7 cm) 
 • kamera / displej: farebný 
 • rozlíšenie displeja: 1024 x 600P 
 • rozlíšenie kamery: 1920x1080, 1080P AHD 
 • možnosť umiestnenia vonkajšej jednotky: mimo steny 
 • funkcia nočného pozorovania: áno 
 • vyhotovenie fotografie pri zvonení: zhotoví fotografiu alebo video záznam návštevníka • možnosť automatického a manuálneho záznamu 
 • vedenia: 4 žilový 
 • dotykové tlačidlá: áno 
 • voliteľné zvonenie: áno 
 • nastaviteľná hlasitosť: áno 
 • nastaviteľná svietivosť a kontrast: áno 
 • funkcia pozorovania vonkajšieho prostredia: áno 
 • tlačidlo alarmu: áno 
 • kompatibilita: Android / iOS 
 • možnosť rozšírenia: 2 vonkajšie jednotky s kamerami, 4 monitory, 2 monitorovacie kamery, 2 senzory otvárania alebo pohybu (voliteľné) 
 • príslušenstvo: 7 RFID bezdotykových kľúčov (DPV 270RFID), nástenné držiaky, ~10 m prepojovací kábel, predlžovacie konektory, sieťový adaptér, armatúry 
 • napájanie: sieťový adaptér (je príslušenstvom) 
 • rozmery: vonkajšia / vnútorná jednotka: 68 x 159  x 32 mm / 180 x 125 x 28 mm</t>
        </is>
      </c>
    </row>
    <row r="528">
      <c r="A528" s="3" t="inlineStr">
        <is>
          <t>DPV 270K</t>
        </is>
      </c>
      <c r="B528" s="2" t="inlineStr">
        <is>
          <t>Vonkajšia kamera na rozšírenie DPV 270</t>
        </is>
      </c>
      <c r="C528" s="1" t="n">
        <v>48.79</v>
      </c>
      <c r="D528" s="7" t="n">
        <f>HYPERLINK("https://www.somogyi.sk/product/vonkajsia-kamera-na-rozsirenie-dpv-270-dpv-270k-17627","https://www.somogyi.sk/product/vonkajsia-kamera-na-rozsirenie-dpv-270-dpv-270k-17627")</f>
        <v>0.0</v>
      </c>
      <c r="E528" s="7" t="n">
        <f>HYPERLINK("https://www.somogyi.sk/data/img/product_main_images/small/17627.jpg","https://www.somogyi.sk/data/img/product_main_images/small/17627.jpg")</f>
        <v>0.0</v>
      </c>
      <c r="F528" s="2" t="inlineStr">
        <is>
          <t>5999084956493</t>
        </is>
      </c>
      <c r="G528" s="4" t="inlineStr">
        <is>
          <t xml:space="preserve"> • možnosť umiestnenia vonkajšej jednotky: povrchová montáž (IP44) 
 • funkcia nočného pozorovania: nočný režim kamery so skrytými infračervenými LED 
 • vyhotovenie fotografie pri zvonení: zhotoví fotografiu alebo video záznam návštevníka • možnosť automatického a manuálneho záznamu 
 • vedenia: 4-žilový 
 •  
 • možnosť rozšírenia: sety DPV 27 a DPV 270 je možné rozšíriť: 2 x vonkajšia jednotka s kamerou a 3 x vnútorná jednotka s monitorom 
 • napájanie: z monitora DPV 270 ( 12 V) 
 • rozmery: ~80 x 160 x 30 mm</t>
        </is>
      </c>
    </row>
    <row r="529">
      <c r="A529" s="3" t="inlineStr">
        <is>
          <t>DPV WIFI 100</t>
        </is>
      </c>
      <c r="B529" s="2" t="inlineStr">
        <is>
          <t>SMART vchodový videotelefón</t>
        </is>
      </c>
      <c r="C529" s="1" t="n">
        <v>115.9</v>
      </c>
      <c r="D529" s="7" t="n">
        <f>HYPERLINK("https://www.somogyi.sk/product/smart-vchodovy-videotelefon-dpv-wifi-100-17830","https://www.somogyi.sk/product/smart-vchodovy-videotelefon-dpv-wifi-100-17830")</f>
        <v>0.0</v>
      </c>
      <c r="E529" s="7" t="n">
        <f>HYPERLINK("https://www.somogyi.sk/data/img/product_main_images/small/17830.jpg","https://www.somogyi.sk/data/img/product_main_images/small/17830.jpg")</f>
        <v>0.0</v>
      </c>
      <c r="F529" s="2" t="inlineStr">
        <is>
          <t>5999084958527</t>
        </is>
      </c>
      <c r="G529" s="4" t="inlineStr">
        <is>
          <t xml:space="preserve"> • funkcia nočného pozorovania: áno 
 • vyhotovenie fotografie pri zvonení: áno (automatické a manuálne) 
 • funkcia pozorovania vonkajšieho prostredia: áno 
 • kompatibilita: platforma TUYA je kompatibilná s mobilnými telefónmi Android a iOS 
 •  
 • napájanie: 2 typy napájania: pripravené na pripojenie vstavanej, vymeniteľnej batérie alebo sieťového adaptéra (nie je súčasťou balenia) 
 • ďalšie informácie: 5v1: vchodový videotelefón, tichý alarm, sledovacia kamera, bezdrôtový zvonček, nočné svetlo s pohybovým senzorom • krytie na úrovni IP54 proti prachu a vode</t>
        </is>
      </c>
    </row>
    <row r="530">
      <c r="A530" s="6" t="inlineStr">
        <is>
          <t xml:space="preserve">   Bytové doplnky / Audio vchodový telefón</t>
        </is>
      </c>
      <c r="B530" s="6" t="inlineStr">
        <is>
          <t/>
        </is>
      </c>
      <c r="C530" s="6" t="inlineStr">
        <is>
          <t/>
        </is>
      </c>
      <c r="D530" s="6" t="inlineStr">
        <is>
          <t/>
        </is>
      </c>
      <c r="E530" s="6" t="inlineStr">
        <is>
          <t/>
        </is>
      </c>
      <c r="F530" s="6" t="inlineStr">
        <is>
          <t/>
        </is>
      </c>
      <c r="G530" s="6" t="inlineStr">
        <is>
          <t/>
        </is>
      </c>
    </row>
    <row r="531">
      <c r="A531" s="3" t="inlineStr">
        <is>
          <t>DP 02</t>
        </is>
      </c>
      <c r="B531" s="2" t="inlineStr">
        <is>
          <t>Sada vchodového telefónu</t>
        </is>
      </c>
      <c r="C531" s="1" t="n">
        <v>35.49</v>
      </c>
      <c r="D531" s="7" t="n">
        <f>HYPERLINK("https://www.somogyi.sk/product/sada-vchodoveho-telefonu-dp-02-6479","https://www.somogyi.sk/product/sada-vchodoveho-telefonu-dp-02-6479")</f>
        <v>0.0</v>
      </c>
      <c r="E531" s="7" t="n">
        <f>HYPERLINK("https://www.somogyi.sk/data/img/product_main_images/small/06479.jpg","https://www.somogyi.sk/data/img/product_main_images/small/06479.jpg")</f>
        <v>0.0</v>
      </c>
      <c r="F531" s="2" t="inlineStr">
        <is>
          <t>5998312755259</t>
        </is>
      </c>
      <c r="G531" s="4" t="inlineStr">
        <is>
          <t xml:space="preserve"> • možnosť umiestnenia vonkajšej jednotky: zapustenie 
 • výstup pre elektrický zámok: 12 V DC max. 200 mA / 15 m (na prevádzku zámku s vyšším odberom prúdu ako aj v prípade väčšej vzdialenosti je potrebné použiť externý transformátor a relé) 
 • menovka: s osvetlením 
 • intercom: nie 
 • vedenia: 2 + 2 žilové 
 • rozmery: vnútorná: 87 x 227 x 45 mm, vonkajšia: 200 x 116 x 55 mm 
 • napájanie: 230 V~ / 50 Hz</t>
        </is>
      </c>
    </row>
    <row r="532">
      <c r="A532" s="3" t="inlineStr">
        <is>
          <t>DP 22</t>
        </is>
      </c>
      <c r="B532" s="2" t="inlineStr">
        <is>
          <t>Vchodový telefón, kovový</t>
        </is>
      </c>
      <c r="C532" s="1" t="n">
        <v>39.49</v>
      </c>
      <c r="D532" s="7" t="n">
        <f>HYPERLINK("https://www.somogyi.sk/product/vchodovy-telefon-kovovy-dp-22-18047","https://www.somogyi.sk/product/vchodovy-telefon-kovovy-dp-22-18047")</f>
        <v>0.0</v>
      </c>
      <c r="E532" s="7" t="n">
        <f>HYPERLINK("https://www.somogyi.sk/data/img/product_main_images/small/18047.jpg","https://www.somogyi.sk/data/img/product_main_images/small/18047.jpg")</f>
        <v>0.0</v>
      </c>
      <c r="F532" s="2" t="inlineStr">
        <is>
          <t>5999084960698</t>
        </is>
      </c>
      <c r="G532" s="4" t="inlineStr">
        <is>
          <t xml:space="preserve"> • možnosť umiestnenia vonkajšej jednotky: mimo steny 
 •  
 • vedenia: 2-vodičové pripojenie 
 • napájanie: 230 V~ / 50 Hz 
 • zvuková signalizácia: nastaviteľná hlasitosť 
 • ochrana proti vode: IP23 
 • príslušenstvo: rám proti dažďu</t>
        </is>
      </c>
    </row>
    <row r="533">
      <c r="A533" s="3" t="inlineStr">
        <is>
          <t>DP 01</t>
        </is>
      </c>
      <c r="B533" s="2" t="inlineStr">
        <is>
          <t>Sada vchodového telefónu</t>
        </is>
      </c>
      <c r="C533" s="1" t="n">
        <v>28.39</v>
      </c>
      <c r="D533" s="7" t="n">
        <f>HYPERLINK("https://www.somogyi.sk/product/sada-vchodoveho-telefonu-dp-01-6478","https://www.somogyi.sk/product/sada-vchodoveho-telefonu-dp-01-6478")</f>
        <v>0.0</v>
      </c>
      <c r="E533" s="7" t="n">
        <f>HYPERLINK("https://www.somogyi.sk/data/img/product_main_images/small/06478.jpg","https://www.somogyi.sk/data/img/product_main_images/small/06478.jpg")</f>
        <v>0.0</v>
      </c>
      <c r="F533" s="2" t="inlineStr">
        <is>
          <t>5998312755242</t>
        </is>
      </c>
      <c r="G533" s="4" t="inlineStr">
        <is>
          <t xml:space="preserve"> • možnosť umiestnenia vonkajšej jednotky: na stenu 
 • výstup pre elektrický zámok: 12 V DC max.300 mA / 15 m (na prevádzku zámku s vyšším odberom prúdu ako aj v prípade väčšej vzdialenosti je potrebné použiť externý transformátor a relé) 
 • menovka: nie 
 • intercom: nie 
 • vedenia: 2 + 2 žilové 
 • rozmery: vnútorná: 87 x 227 x 45 mm, vonkajšia: 73 x 100 x 36 mm 
 • napájanie: 230 V~ / 50 Hz</t>
        </is>
      </c>
    </row>
    <row r="534">
      <c r="A534" s="3" t="inlineStr">
        <is>
          <t>DP 012</t>
        </is>
      </c>
      <c r="B534" s="2" t="inlineStr">
        <is>
          <t xml:space="preserve">Sada vchodového telefónu, pre dva byty </t>
        </is>
      </c>
      <c r="C534" s="1" t="n">
        <v>58.69</v>
      </c>
      <c r="D534" s="7" t="n">
        <f>HYPERLINK("https://www.somogyi.sk/product/sada-vchodoveho-telefonu-pre-dva-byty-dp-012-6480","https://www.somogyi.sk/product/sada-vchodoveho-telefonu-pre-dva-byty-dp-012-6480")</f>
        <v>0.0</v>
      </c>
      <c r="E534" s="7" t="n">
        <f>HYPERLINK("https://www.somogyi.sk/data/img/product_main_images/small/06480.jpg","https://www.somogyi.sk/data/img/product_main_images/small/06480.jpg")</f>
        <v>0.0</v>
      </c>
      <c r="F534" s="2" t="inlineStr">
        <is>
          <t>5998312755266</t>
        </is>
      </c>
      <c r="G534" s="4" t="inlineStr">
        <is>
          <t xml:space="preserve"> • možnosť umiestnenia vonkajšej jednotky: zapustenie 
 • výstup pre elektrický zámok: 12 V DC max. 200 mA / 15 m (na prevádzku zámku s vyšším odberom prúdu ako aj v prípade väčšej vzdialenosti je potrebné použiť externý transformátor a relé) 
 • menovka: s osvetlením 
 • intercom: nie 
 • vedenia: 2 + 2 žilové 
 • rozmery: vnútorná: 87 x 227 x 45 mm, vonkajšia: 200 x 116 x 55 mm 
 • napájanie: 230 V~ / 50 Hz</t>
        </is>
      </c>
    </row>
    <row r="535">
      <c r="A535" s="6" t="inlineStr">
        <is>
          <t xml:space="preserve">   Bytové doplnky / Zvonček</t>
        </is>
      </c>
      <c r="B535" s="6" t="inlineStr">
        <is>
          <t/>
        </is>
      </c>
      <c r="C535" s="6" t="inlineStr">
        <is>
          <t/>
        </is>
      </c>
      <c r="D535" s="6" t="inlineStr">
        <is>
          <t/>
        </is>
      </c>
      <c r="E535" s="6" t="inlineStr">
        <is>
          <t/>
        </is>
      </c>
      <c r="F535" s="6" t="inlineStr">
        <is>
          <t/>
        </is>
      </c>
      <c r="G535" s="6" t="inlineStr">
        <is>
          <t/>
        </is>
      </c>
    </row>
    <row r="536">
      <c r="A536" s="3" t="inlineStr">
        <is>
          <t>DB 2070AC</t>
        </is>
      </c>
      <c r="B536" s="2" t="inlineStr">
        <is>
          <t>Zvonček, 230 V~, 200 m</t>
        </is>
      </c>
      <c r="C536" s="1" t="n">
        <v>20.89</v>
      </c>
      <c r="D536" s="7" t="n">
        <f>HYPERLINK("https://www.somogyi.sk/product/zvoncek-230-v-200-m-db-2070ac-16256","https://www.somogyi.sk/product/zvoncek-230-v-200-m-db-2070ac-16256")</f>
        <v>0.0</v>
      </c>
      <c r="E536" s="7" t="n">
        <f>HYPERLINK("https://www.somogyi.sk/data/img/product_main_images/small/16256.jpg","https://www.somogyi.sk/data/img/product_main_images/small/16256.jpg")</f>
        <v>0.0</v>
      </c>
      <c r="F536" s="2" t="inlineStr">
        <is>
          <t>5999084942885</t>
        </is>
      </c>
      <c r="G536" s="4" t="inlineStr">
        <is>
          <t xml:space="preserve"> • bezdrôtový / s káblom: bezdrôtový 
 • Rf dosah na otvorenom teréne: cca. 200 m 
 • prevádzková frekvencia: 433,9 MHz 
 • individuálne kódované: áno 
 • ochrana tlačidla voči vode: IP44 
 • regulovateľná hlasitosť: 5 stupní 
 • výber melódie: 36 melódií 
 • zobrazenie stavu batérií: áno 
 • svetelná signalizácia: áno 
 • napájanie: vnútorná jednotka: 230 V~  / 50 Hz / 0,9 W, tlačidlo: LR23A batéria (je príslušenstvom) 
 • rozmery: vnútorná jednotka: 80 x 76 x 23 mm, tlačidlo: 42 x 78 x 19 mm</t>
        </is>
      </c>
    </row>
    <row r="537">
      <c r="A537" s="3" t="inlineStr">
        <is>
          <t>DB 1000AC</t>
        </is>
      </c>
      <c r="B537" s="2" t="inlineStr">
        <is>
          <t>Bezdrôtový zvonček, 100 m</t>
        </is>
      </c>
      <c r="C537" s="1" t="n">
        <v>17.09</v>
      </c>
      <c r="D537" s="7" t="n">
        <f>HYPERLINK("https://www.somogyi.sk/product/bezdrotovy-zvoncek-100-m-db-1000ac-17130","https://www.somogyi.sk/product/bezdrotovy-zvoncek-100-m-db-1000ac-17130")</f>
        <v>0.0</v>
      </c>
      <c r="E537" s="7" t="n">
        <f>HYPERLINK("https://www.somogyi.sk/data/img/product_main_images/small/17130.jpg","https://www.somogyi.sk/data/img/product_main_images/small/17130.jpg")</f>
        <v>0.0</v>
      </c>
      <c r="F537" s="2" t="inlineStr">
        <is>
          <t>5999084951627</t>
        </is>
      </c>
      <c r="G537" s="4" t="inlineStr">
        <is>
          <t xml:space="preserve"> • farba: biela 
 • bezdrôtový / s káblom: bezdrôtový 
 • Rf dosah na otvorenom teréne: ~100 m 
 • prevádzková frekvencia: 433,92 MHz 
 • funkcie: aktívny svetelný signál v tichom režime 
 • individuálne kódované: individuálne kódovanie s funkciou učenia 
 • ochrana tlačidla voči vode: IP44 
 • regulovateľná hlasitosť: 4 nastaviteľné stupne 
 • hlasitosť: 85 Mhz 
 • výber melódie: 38 melódií 
 • možnosť rozšírenia: max. 4 tlačidlá 
 • napájanie: tlačidlo: CR2032 (3 V) batéria, je príslušenstvom / vnútorná jednotka: 230 V~ / 50 Hz / 0,3 W 
 • rozmery: ∅50 x 41 mm</t>
        </is>
      </c>
    </row>
    <row r="538">
      <c r="A538" s="3" t="inlineStr">
        <is>
          <t>DBK 1000AC</t>
        </is>
      </c>
      <c r="B538" s="2" t="inlineStr">
        <is>
          <t>Bezdrôtový a bezbatériový zvonček, 230 V, 100 m</t>
        </is>
      </c>
      <c r="C538" s="1" t="n">
        <v>28.69</v>
      </c>
      <c r="D538" s="7" t="n">
        <f>HYPERLINK("https://www.somogyi.sk/product/bezdrotovy-a-bezbateriovy-zvoncek-230-v-100-m-dbk-1000ac-16425","https://www.somogyi.sk/product/bezdrotovy-a-bezbateriovy-zvoncek-230-v-100-m-dbk-1000ac-16425")</f>
        <v>0.0</v>
      </c>
      <c r="E538" s="7" t="n">
        <f>HYPERLINK("https://www.somogyi.sk/data/img/product_main_images/small/16425.jpg","https://www.somogyi.sk/data/img/product_main_images/small/16425.jpg")</f>
        <v>0.0</v>
      </c>
      <c r="F538" s="2" t="inlineStr">
        <is>
          <t>5999084944575</t>
        </is>
      </c>
      <c r="G538" s="4" t="inlineStr">
        <is>
          <t xml:space="preserve"> • bezdrôtový / s káblom: bezdrôtový 
 • Rf dosah na otvorenom teréne: 100 lm 
 • prevádzková frekvencia: 433,9 MHz 
 • funkcie: zvuková signalizácia / priebežné nočné svetlo 
 • individuálne kódované: áno 
 • ochrana tlačidla voči vode: IP44 
 • regulovateľná hlasitosť: 3 stupne 
 • výber melódie: 36 melódií 
 • možnosť rozšírenia: max. 4 tlačidlá 
 • svetelná signalizácia: pri zvonení bliká 
 • napájanie: vnútorná jednotka: 230 V~  / 50 Hz, tlačidlo: kinetická energia</t>
        </is>
      </c>
    </row>
    <row r="539">
      <c r="A539" s="3" t="inlineStr">
        <is>
          <t>DC313NP2</t>
        </is>
      </c>
      <c r="B539" s="2" t="inlineStr">
        <is>
          <t>Bezdrôtový zvonček, 230 V~, 150 m, Honeywell</t>
        </is>
      </c>
      <c r="C539" s="1" t="n">
        <v>60.79</v>
      </c>
      <c r="D539" s="7" t="n">
        <f>HYPERLINK("https://www.somogyi.sk/product/bezdrotovy-zvoncek-230-v-150-m-honeywell-dc313np2-17295","https://www.somogyi.sk/product/bezdrotovy-zvoncek-230-v-150-m-honeywell-dc313np2-17295")</f>
        <v>0.0</v>
      </c>
      <c r="E539" s="7" t="n">
        <f>HYPERLINK("https://www.somogyi.sk/data/img/product_main_images/small/17295.jpg","https://www.somogyi.sk/data/img/product_main_images/small/17295.jpg")</f>
        <v>0.0</v>
      </c>
      <c r="F539" s="2" t="inlineStr">
        <is>
          <t>5004100965448</t>
        </is>
      </c>
      <c r="G539" s="4" t="inlineStr">
        <is>
          <t xml:space="preserve"> • farba: biela/sivá 
 • bezdrôtový / s káblom: bezdrôtový 
 • Rf dosah na otvorenom teréne: max. 150 m 
 • prevádzková frekvencia: 868 MHz 
 • funkcie: zvuková signalizácia / zvuková a svetelná signalizácia 
 • ochrana tlačidla voči vode: IP55 
 • regulovateľná hlasitosť: áno 
 • hlasitosť: max. 84 dB 
 • výber melódie: 6 melódií 
 • svetelná signalizácia: áno (dá sa vypnúť) 
 • príslušenstvo: vnútorná jednotka, tlačidlo, CR2032 batéria 
 • napájanie: napájanie zvončeka: 230 V~/ 50 Hz / napájanie tlačidla: 1 x 3 V (CR2032) batéria, je príslušenstvom 
 • rozmery: vnútorná jednotka: 110 x 70 x 40 mm / tlačidlo: 70 x 30 x 15 mm</t>
        </is>
      </c>
    </row>
    <row r="540">
      <c r="A540" s="3" t="inlineStr">
        <is>
          <t>DC515N</t>
        </is>
      </c>
      <c r="B540" s="2" t="inlineStr">
        <is>
          <t>Bezdrôtový zvonček, Honeywell, 3 x AA</t>
        </is>
      </c>
      <c r="C540" s="1" t="n">
        <v>54.69</v>
      </c>
      <c r="D540" s="7" t="n">
        <f>HYPERLINK("https://www.somogyi.sk/product/bezdrotovy-zvoncek-honeywell-3-x-aa-dc515n-17296","https://www.somogyi.sk/product/bezdrotovy-zvoncek-honeywell-3-x-aa-dc515n-17296")</f>
        <v>0.0</v>
      </c>
      <c r="E540" s="7" t="n">
        <f>HYPERLINK("https://www.somogyi.sk/data/img/product_main_images/small/17296.jpg","https://www.somogyi.sk/data/img/product_main_images/small/17296.jpg")</f>
        <v>0.0</v>
      </c>
      <c r="F540" s="2" t="inlineStr">
        <is>
          <t>5004100965516</t>
        </is>
      </c>
      <c r="G540" s="4" t="inlineStr">
        <is>
          <t xml:space="preserve"> • farba: biela/sivá 
 • bezdrôtový / s káblom: bezdrôtový 
 • Rf dosah na otvorenom teréne: max. 150 m 
 • prevádzková frekvencia: 868 MHz 
 • funkcie: zvuková signalizácia / zvuková a svetelná signalizácia 
 • ochrana tlačidla voči vode: IP55 
 • regulovateľná hlasitosť: áno 
 • hlasitosť: max. 84 dB 
 • výber melódie: 6 melódií 
 • načasovaný tichý režim: 3, 6, 9, 12 h 
 • zobrazenie stavu batérií: áno 
 • svetelná signalizácia: Náno (dá sa vypnúť) 
 • príslušenstvo: vnútorná jednotka, tlačidlo, CR2032 batéria 
 • napájanie: napájanie zvončeka: 3 x 1,5 V (AA) LR6 batéria, nie je príslušenstvom / napájanie tlačidla: 1 x 3 V (CR2032) batéria, je príslušenstvom 
 • rozmery: vnútorná jednotka: 70 x 70 x 42,5 mm / tlačidlo: 70 x 30 x 15 mm</t>
        </is>
      </c>
    </row>
    <row r="541">
      <c r="A541" s="3" t="inlineStr">
        <is>
          <t>DB 0620DC</t>
        </is>
      </c>
      <c r="B541" s="2" t="inlineStr">
        <is>
          <t>Bezdrôtový zvonček, 60 m</t>
        </is>
      </c>
      <c r="C541" s="1" t="n">
        <v>10.09</v>
      </c>
      <c r="D541" s="7" t="n">
        <f>HYPERLINK("https://www.somogyi.sk/product/bezdrotovy-zvoncek-60-m-db-0620dc-16957","https://www.somogyi.sk/product/bezdrotovy-zvoncek-60-m-db-0620dc-16957")</f>
        <v>0.0</v>
      </c>
      <c r="E541" s="7" t="n">
        <f>HYPERLINK("https://www.somogyi.sk/data/img/product_main_images/small/16957.jpg","https://www.somogyi.sk/data/img/product_main_images/small/16957.jpg")</f>
        <v>0.0</v>
      </c>
      <c r="F541" s="2" t="inlineStr">
        <is>
          <t>5999084949891</t>
        </is>
      </c>
      <c r="G541" s="4" t="inlineStr">
        <is>
          <t xml:space="preserve"> • dosah na otvorenom teréne: cca. 60 m 
 • polyfónny, príjemný zvuk 
 • 32 rôznych melódií 
 • pri zvonení svetelná signalizácia pomocou červenej LED 
 • prevádzková frekvencia: 433,9 MHz 
 • napájanie: tlačidlo: 1 x 12 V (LR 23A) batéria, je príslušenstvom, zvončeka: 2 x 1,5 V (AA) batéria, nie je príslušenstvom 
 • rozmery : 70 x 105 x 26 mm</t>
        </is>
      </c>
    </row>
    <row r="542">
      <c r="A542" s="3" t="inlineStr">
        <is>
          <t>DCR313N</t>
        </is>
      </c>
      <c r="B542" s="2" t="inlineStr">
        <is>
          <t>Honeywell zvonček</t>
        </is>
      </c>
      <c r="C542" s="1" t="n">
        <v>22.49</v>
      </c>
      <c r="D542" s="7" t="n">
        <f>HYPERLINK("https://www.somogyi.sk/product/honeywell-zvoncek-dcr313n-17300","https://www.somogyi.sk/product/honeywell-zvoncek-dcr313n-17300")</f>
        <v>0.0</v>
      </c>
      <c r="E542" s="7" t="n">
        <f>HYPERLINK("https://www.somogyi.sk/data/img/product_main_images/small/17300.jpg","https://www.somogyi.sk/data/img/product_main_images/small/17300.jpg")</f>
        <v>0.0</v>
      </c>
      <c r="F542" s="2" t="inlineStr">
        <is>
          <t>5004100965653</t>
        </is>
      </c>
      <c r="G542" s="4" t="inlineStr">
        <is>
          <t xml:space="preserve"> • farba: biela/sivá 
 • bezdrôtový / s káblom: bezdrôtový 
 • Rf dosah na otvorenom teréne: max. 150 m 
 • prevádzková frekvencia: 868 MHz 
 • funkcie: LED signalizačné svetlo pri zvonení 
 • ochrana tlačidla voči vode: IP55 
 • regulovateľná hlasitosť: áno 
 • hlasitosť: max. 84 dB 
 • výber melódie: 6 melódií 
 • svetelná signalizácia: áno (dá sa vypnúť) 
 • príslušenstvo: vnútorná jednotka, tlačidlo, CR2032 batéria 
 • napájanie: napájanie zvončeka: 3 x 1,5 V (AA) LR6 batéria, nie je príslušenstvom / napájanie tlačidla: 1 x 3 V (CR2032) batéria, je príslušenstvom 
 • rozmery: vnútorná jednotka: 110 x 70 x 40 mm / tlačidlo: 70 x 30 x 15 mm</t>
        </is>
      </c>
    </row>
    <row r="543">
      <c r="A543" s="3" t="inlineStr">
        <is>
          <t>DB 1601DC</t>
        </is>
      </c>
      <c r="B543" s="2" t="inlineStr">
        <is>
          <t>Bezdrôtový zvonček, 160 m,  3 x AA</t>
        </is>
      </c>
      <c r="C543" s="1" t="n">
        <v>13.99</v>
      </c>
      <c r="D543" s="7" t="n">
        <f>HYPERLINK("https://www.somogyi.sk/product/bezdrotovy-zvoncek-160-m-3-x-aa-db-1601dc-18251","https://www.somogyi.sk/product/bezdrotovy-zvoncek-160-m-3-x-aa-db-1601dc-18251")</f>
        <v>0.0</v>
      </c>
      <c r="E543" s="7" t="n">
        <f>HYPERLINK("https://www.somogyi.sk/data/img/product_main_images/small/18251.jpg","https://www.somogyi.sk/data/img/product_main_images/small/18251.jpg")</f>
        <v>0.0</v>
      </c>
      <c r="F543" s="2" t="inlineStr">
        <is>
          <t>5999084962739</t>
        </is>
      </c>
      <c r="G543" s="4" t="inlineStr">
        <is>
          <t xml:space="preserve"> • bezdrôtový / s káblom: bezdrôtový 
 • Rf dosah na otvorenom teréne: cca. 160 m 
 • prevádzková frekvencia: 433,92 MHz 
 • ochrana tlačidla voči vode: IP44 
 • regulovateľná hlasitosť: 4 úrovne ovládania hlasitosti plus stlmenie 
 • hlasitosť: 0 / 68-74 / 74-80 / 80-86 / 86-92 dB (at 30 cm) 
 • výber melódie: 60 melódií 
 • svetelná signalizácia: zapínateľná 
 • napájanie: napájanie zvončeka: 3 x 1,5 V (AA) batéria, nie je príslušenstvom • tlačidlové napájanie: 1 x 3 V (CR2032) batéria,  je príslušenstvom 
 • rozmery: tlačidlo / zvonček: 35,3 x 65,4 x 17 mm / 80,6 x 80,2 x 32,8 mm</t>
        </is>
      </c>
    </row>
    <row r="544">
      <c r="A544" s="3" t="inlineStr">
        <is>
          <t>DB 1091AC</t>
        </is>
      </c>
      <c r="B544" s="2" t="inlineStr">
        <is>
          <t>Bezdrôtový zvonček, 100 m,  230 V~</t>
        </is>
      </c>
      <c r="C544" s="1" t="n">
        <v>15.59</v>
      </c>
      <c r="D544" s="7" t="n">
        <f>HYPERLINK("https://www.somogyi.sk/product/bezdrotovy-zvoncek-100-m-230-v-db-1091ac-18270","https://www.somogyi.sk/product/bezdrotovy-zvoncek-100-m-230-v-db-1091ac-18270")</f>
        <v>0.0</v>
      </c>
      <c r="E544" s="7" t="n">
        <f>HYPERLINK("https://www.somogyi.sk/data/img/product_main_images/small/18270.jpg","https://www.somogyi.sk/data/img/product_main_images/small/18270.jpg")</f>
        <v>0.0</v>
      </c>
      <c r="F544" s="2" t="inlineStr">
        <is>
          <t>5999084962920</t>
        </is>
      </c>
      <c r="G544" s="4" t="inlineStr">
        <is>
          <t xml:space="preserve"> • farba: biela 
 • bezdrôtový / s káblom: bezdrôtový 
 • Rf dosah na otvorenom teréne: ~100 m 
 • prevádzková frekvencia: 433,92 MHz 
 • individuálne kódované: áno 
 • ochrana tlačidla voči vode: IP44 
 • regulovateľná hlasitosť: 3 stupne 
 • výber melódie: 36 melódií 
 • možnosť rozšírenia: súčasne je možné pripojiť až 8 tlačidiel (v prípade zakúpenia viacerých setov) 
 • napájanie: napájanie tlačidla: 1 x 3 V (CR2032) gombíková batéria, je príslušenstvom / napájanie zvončeka: 230 V~ / 50 Hz / 0,5 W 
 • rozmery: tlačidlo: 37 x 96 x 17 mm / zvonček: 63 x 102 x 26 mm   sieťová vidlica</t>
        </is>
      </c>
    </row>
    <row r="545">
      <c r="A545" s="3" t="inlineStr">
        <is>
          <t>DC311NP2</t>
        </is>
      </c>
      <c r="B545" s="2" t="inlineStr">
        <is>
          <t>Bezdrôtový zvonček, 230 V~, 150 m, Honeywell</t>
        </is>
      </c>
      <c r="C545" s="1" t="n">
        <v>52.19</v>
      </c>
      <c r="D545" s="7" t="n">
        <f>HYPERLINK("https://www.somogyi.sk/product/bezdrotovy-zvoncek-230-v-150-m-honeywell-dc311np2-17293","https://www.somogyi.sk/product/bezdrotovy-zvoncek-230-v-150-m-honeywell-dc311np2-17293")</f>
        <v>0.0</v>
      </c>
      <c r="E545" s="7" t="n">
        <f>HYPERLINK("https://www.somogyi.sk/data/img/product_main_images/small/17293.jpg","https://www.somogyi.sk/data/img/product_main_images/small/17293.jpg")</f>
        <v>0.0</v>
      </c>
      <c r="F545" s="2" t="inlineStr">
        <is>
          <t>5004100965356</t>
        </is>
      </c>
      <c r="G545" s="4" t="inlineStr">
        <is>
          <t xml:space="preserve"> • farba: biela/sivá 
 • bezdrôtový / s káblom: bezdrôtový 
 • Rf dosah na otvorenom teréne: max. 150 m 
 • prevádzková frekvencia: 868 MHz 
 • ochrana tlačidla voči vode: IP55 
 • hlasitosť: max. 80 dB 
 • výber melódie: 4 melódie 
 • príslušenstvo: vnútorná jednotka, tlačidlo, CR2032 batéria 
 • napájanie: napájanie zvončeka: 230 V~/ 50 Hz / napájanie tlačidla: 1 x 3 V (CR2032) batéria, je príslušenstvom 
 • rozmery: vnútorná jednotka: 110 x 70 x 40 mm / tlačidlo: 70 x 30 x 15 mm</t>
        </is>
      </c>
    </row>
    <row r="546">
      <c r="A546" s="3" t="inlineStr">
        <is>
          <t>DBK 1500AC</t>
        </is>
      </c>
      <c r="B546" s="2" t="inlineStr">
        <is>
          <t>Bezdrôtový a bezbatériový zvonček, 230 V, 150 m</t>
        </is>
      </c>
      <c r="C546" s="1" t="n">
        <v>30.39</v>
      </c>
      <c r="D546" s="7" t="n">
        <f>HYPERLINK("https://www.somogyi.sk/product/bezdrotovy-a-bezbateriovy-zvoncek-230-v-150-m-dbk-1500ac-16434","https://www.somogyi.sk/product/bezdrotovy-a-bezbateriovy-zvoncek-230-v-150-m-dbk-1500ac-16434")</f>
        <v>0.0</v>
      </c>
      <c r="E546" s="7" t="n">
        <f>HYPERLINK("https://www.somogyi.sk/data/img/product_main_images/small/16434.jpg","https://www.somogyi.sk/data/img/product_main_images/small/16434.jpg")</f>
        <v>0.0</v>
      </c>
      <c r="F546" s="2" t="inlineStr">
        <is>
          <t>5999084944667</t>
        </is>
      </c>
      <c r="G546" s="4" t="inlineStr">
        <is>
          <t xml:space="preserve"> • bezdrôtový / s káblom: bezdrôtový 
 • Rf dosah na otvorenom teréne: cca. 150 m 
 • prevádzková frekvencia: 433,9 MHz 
 • individuálne kódované: áno 
 • regulovateľná hlasitosť: 4 stupne   tichý režim 
 • výber melódie: 36 melódií 
 • možnosť rozšírenia: max. 4 tlačidlá 
 • svetelná signalizácia: áno 
 • napájanie: vnútorná jednotka: 230 V~  / 50 Hz, tlačidlo: kinetická energia</t>
        </is>
      </c>
    </row>
    <row r="547">
      <c r="A547" s="3" t="inlineStr">
        <is>
          <t>DCP711</t>
        </is>
      </c>
      <c r="B547" s="2" t="inlineStr">
        <is>
          <t>Bezdrôtové tlačidlo</t>
        </is>
      </c>
      <c r="C547" s="1" t="n">
        <v>17.59</v>
      </c>
      <c r="D547" s="7" t="n">
        <f>HYPERLINK("https://www.somogyi.sk/product/bezdrotove-tlacidlo-dcp711-17506","https://www.somogyi.sk/product/bezdrotove-tlacidlo-dcp711-17506")</f>
        <v>0.0</v>
      </c>
      <c r="E547" s="7" t="n">
        <f>HYPERLINK("https://www.somogyi.sk/data/img/product_main_images/small/17506.jpg","https://www.somogyi.sk/data/img/product_main_images/small/17506.jpg")</f>
        <v>0.0</v>
      </c>
      <c r="F547" s="2" t="inlineStr">
        <is>
          <t>5004100967831</t>
        </is>
      </c>
      <c r="G547" s="4" t="inlineStr">
        <is>
          <t xml:space="preserve"> • výlučne pre zvončeky značky Honeywell typu DC 
 • RF dosah na otvorenom teréne: 200 m 
 • prevádzková frekvencia: 868 MHz 
 • ochrana IP55 
 • napájanie: CR2032 batéria, je príslušenstvom 
 • rozmery: 42 x 42 x 18,5 mm</t>
        </is>
      </c>
    </row>
    <row r="548">
      <c r="A548" s="3" t="inlineStr">
        <is>
          <t>DC313N</t>
        </is>
      </c>
      <c r="B548" s="2" t="inlineStr">
        <is>
          <t>Bezdrôtový zvonček, 150 m, Honeywell</t>
        </is>
      </c>
      <c r="C548" s="1" t="n">
        <v>49.09</v>
      </c>
      <c r="D548" s="7" t="n">
        <f>HYPERLINK("https://www.somogyi.sk/product/bezdrotovy-zvoncek-150-m-honeywell-dc313n-17294","https://www.somogyi.sk/product/bezdrotovy-zvoncek-150-m-honeywell-dc313n-17294")</f>
        <v>0.0</v>
      </c>
      <c r="E548" s="7" t="n">
        <f>HYPERLINK("https://www.somogyi.sk/data/img/product_main_images/small/17294.jpg","https://www.somogyi.sk/data/img/product_main_images/small/17294.jpg")</f>
        <v>0.0</v>
      </c>
      <c r="F548" s="2" t="inlineStr">
        <is>
          <t>5004100965370</t>
        </is>
      </c>
      <c r="G548" s="4" t="inlineStr">
        <is>
          <t xml:space="preserve"> • farba: biela/sivá 
 • bezdrôtový / s káblom: bezdrôtový 
 • Rf dosah na otvorenom teréne: max. 150 m 
 • prevádzková frekvencia: 868 MHz 
 • funkcie: zvuková signalizácia / zvuková a svetelná signalizácia 
 • ochrana tlačidla voči vode: IP55 
 • regulovateľná hlasitosť: áno 
 • hlasitosť: max. 84 dB 
 • výber melódie: 6 melódií 
 • svetelná signalizácia: áno (dá sa vypnúť) 
 • príslušenstvo: vnútorná jednotka, tlačidlo, CR2032 batéria 
 • napájanie: vnútorná jednotka:4 x AA (nie je príslušenstvom), tlačidlo: CR2032 batéria (je príslušenstvom) 
 • rozmery: vnútorná jednotka: 110 x 70 x 40 mm / tlačidlo: 70 x 30 x 15 mm</t>
        </is>
      </c>
    </row>
    <row r="549">
      <c r="A549" s="3" t="inlineStr">
        <is>
          <t>DBP 03</t>
        </is>
      </c>
      <c r="B549" s="2" t="inlineStr">
        <is>
          <t>Tlačidlo k bezdrôtového zvončeku</t>
        </is>
      </c>
      <c r="C549" s="1" t="n">
        <v>10.09</v>
      </c>
      <c r="D549" s="7" t="n">
        <f>HYPERLINK("https://www.somogyi.sk/product/tlacidlo-k-bezdrotoveho-zvonceku-dbp-03-16380","https://www.somogyi.sk/product/tlacidlo-k-bezdrotoveho-zvonceku-dbp-03-16380")</f>
        <v>0.0</v>
      </c>
      <c r="E549" s="7" t="n">
        <f>HYPERLINK("https://www.somogyi.sk/data/img/product_main_images/small/16380.jpg","https://www.somogyi.sk/data/img/product_main_images/small/16380.jpg")</f>
        <v>0.0</v>
      </c>
      <c r="F549" s="2" t="inlineStr">
        <is>
          <t>5999084944124</t>
        </is>
      </c>
      <c r="G549" s="4" t="inlineStr">
        <is>
          <t xml:space="preserve"> • bezdrôtový / s káblom: bezdrôtový 
 • Rf dosah na otvorenom teréne: cca. 200 m 
 • prevádzková frekvencia: 433,9 MHz 
 • individuálne kódované: áno 
 • ochrana tlačidla voči vode: IP44 
 • napájanie: 1 x CR 2032 (3 V) batéria, je príslušenstvom 
 • rozmery: 27 x 76 x 16 mm</t>
        </is>
      </c>
    </row>
    <row r="550">
      <c r="A550" s="3" t="inlineStr">
        <is>
          <t>DCP311</t>
        </is>
      </c>
      <c r="B550" s="2" t="inlineStr">
        <is>
          <t>Bezdrôtové tlačidlo pre DCxxx zvonček</t>
        </is>
      </c>
      <c r="C550" s="1" t="n">
        <v>17.59</v>
      </c>
      <c r="D550" s="7" t="n">
        <f>HYPERLINK("https://www.somogyi.sk/product/bezdrotove-tlacidlo-pre-dcxxx-zvoncek-dcp311-17507","https://www.somogyi.sk/product/bezdrotove-tlacidlo-pre-dcxxx-zvoncek-dcp311-17507")</f>
        <v>0.0</v>
      </c>
      <c r="E550" s="7" t="n">
        <f>HYPERLINK("https://www.somogyi.sk/data/img/product_main_images/small/17507.jpg","https://www.somogyi.sk/data/img/product_main_images/small/17507.jpg")</f>
        <v>0.0</v>
      </c>
      <c r="F550" s="2" t="inlineStr">
        <is>
          <t>5004100965738</t>
        </is>
      </c>
      <c r="G550" s="4" t="inlineStr">
        <is>
          <t xml:space="preserve"> • farba: biela farba 
 • bezdrôtový / s káblom: bezdrôtový 
 • Rf dosah na otvorenom teréne: 200 m 
 • prevádzková frekvencia: 868 MHz 
 • ochrana tlačidla voči vode: IP55 
 • napájanie: CR2032 batéria (je príslušenstvom) 
 • rozmery: 30 x 70 x 16 mm</t>
        </is>
      </c>
    </row>
    <row r="551">
      <c r="A551" s="3" t="inlineStr">
        <is>
          <t>DB112AC</t>
        </is>
      </c>
      <c r="B551" s="2" t="inlineStr">
        <is>
          <t>Bezdrôtový zvonček, 230V, 100 m</t>
        </is>
      </c>
      <c r="C551" s="1" t="n">
        <v>21.69</v>
      </c>
      <c r="D551" s="7" t="n">
        <f>HYPERLINK("https://www.somogyi.sk/product/bezdrotovy-zvoncek-230v-100-m-db112ac-18474","https://www.somogyi.sk/product/bezdrotovy-zvoncek-230v-100-m-db112ac-18474")</f>
        <v>0.0</v>
      </c>
      <c r="E551" s="7" t="n">
        <f>HYPERLINK("https://www.somogyi.sk/data/img/product_main_images/small/18474.jpg","https://www.somogyi.sk/data/img/product_main_images/small/18474.jpg")</f>
        <v>0.0</v>
      </c>
      <c r="F551" s="2" t="inlineStr">
        <is>
          <t>5999084964924</t>
        </is>
      </c>
      <c r="G551" s="4" t="inlineStr">
        <is>
          <t xml:space="preserve"> • bezdrôtový / s káblom: bezdrôtový 
 • Rf dosah na otvorenom teréne: cca. 100 m 
 • prevádzková frekvencia: 433,92 MHz 
 • individuálne kódované: áno 
 • ochrana tlačidla voči vode: IP44 
 • regulovateľná hlasitosť: nastaviteľné v 4 stupňoch 
 • výber melódie: 36 melódií 
 • svetelná signalizácia: áno 
 • napájanie: vnútorná jednotka: 230 V~  / 50 Hz / 1 W, tlačidlo: LR23A (je príslušenstvom) 
 • rozmery: vnútorná jednotka: 90 x 60 x 30 mm, tlačidlo: 85 x 60 x 25 mm</t>
        </is>
      </c>
    </row>
    <row r="552">
      <c r="A552" s="3" t="inlineStr">
        <is>
          <t>DB 1001DC</t>
        </is>
      </c>
      <c r="B552" s="2" t="inlineStr">
        <is>
          <t>Bezdrôtový zvonček, 100 m, štipec na opasok</t>
        </is>
      </c>
      <c r="C552" s="1" t="n">
        <v>20.59</v>
      </c>
      <c r="D552" s="7" t="n">
        <f>HYPERLINK("https://www.somogyi.sk/product/bezdrotovy-zvoncek-100-m-stipec-na-opasok-db-1001dc-15867","https://www.somogyi.sk/product/bezdrotovy-zvoncek-100-m-stipec-na-opasok-db-1001dc-15867")</f>
        <v>0.0</v>
      </c>
      <c r="E552" s="7" t="n">
        <f>HYPERLINK("https://www.somogyi.sk/data/img/product_main_images/small/15867.jpg","https://www.somogyi.sk/data/img/product_main_images/small/15867.jpg")</f>
        <v>0.0</v>
      </c>
      <c r="F552" s="2" t="inlineStr">
        <is>
          <t>5999084939014</t>
        </is>
      </c>
      <c r="G552" s="4" t="inlineStr">
        <is>
          <t xml:space="preserve"> • bezdrôtový / s káblom: bezdrôtový 
 • Rf dosah na otvorenom teréne: 100 m 
 • prevádzková frekvencia: 433,9 MHz 
 • individuálne kódované: áno 
 • ochrana tlačidla voči vode: IP44 
 • výber melódie: 8 melódií 
 • možnosť rozšírenia: max. 4 tlačidlá 
 • svetelná signalizácia: blikajúca svetelná signalizácia pri zvonení 
 • napájanie: vnútorná jednotka: 2 x AA (nie je príslušenstvom), tlačidlo: CR2032 (je príslušenstvom</t>
        </is>
      </c>
    </row>
    <row r="553">
      <c r="A553" s="3" t="inlineStr">
        <is>
          <t>DBS 1001DC</t>
        </is>
      </c>
      <c r="B553" s="2" t="inlineStr">
        <is>
          <t>Set bezdrôtového zvončeka, 2 zvončeky, 1 tlačidlo, 100 m, štipec na opasok</t>
        </is>
      </c>
      <c r="C553" s="1" t="n">
        <v>29.89</v>
      </c>
      <c r="D553" s="7" t="n">
        <f>HYPERLINK("https://www.somogyi.sk/product/set-bezdrotoveho-zvonceka-2-zvonceky-1-tlacidlo-100-m-stipec-na-opasok-dbs-1001dc-15868","https://www.somogyi.sk/product/set-bezdrotoveho-zvonceka-2-zvonceky-1-tlacidlo-100-m-stipec-na-opasok-dbs-1001dc-15868")</f>
        <v>0.0</v>
      </c>
      <c r="E553" s="7" t="n">
        <f>HYPERLINK("https://www.somogyi.sk/data/img/product_main_images/small/15868.jpg","https://www.somogyi.sk/data/img/product_main_images/small/15868.jpg")</f>
        <v>0.0</v>
      </c>
      <c r="F553" s="2" t="inlineStr">
        <is>
          <t>5999084939021</t>
        </is>
      </c>
      <c r="G553" s="4" t="inlineStr">
        <is>
          <t xml:space="preserve"> • bezdrôtový / s káblom: bezdrôtový 
 • Rf dosah na otvorenom teréne: 100 m 
 • prevádzková frekvencia: 433,9 MHz 
 • individuálne kódované: áno 
 • ochrana tlačidla voči vode: IP44 
 • výber melódie: 8 melódií 
 • možnosť rozšírenia: max. 4 tlačidlá 
 • svetelná signalizácia: blikajúci svetelný signál pri zvonení 
 • príslušenstvo: 2 vnútorné jednotky, 1 tlačidlo 
 • napájanie: vnútorná jednotka: 2 x AA batéria (nie je príslušenstvom), tlačidlo: CR2032 batéria (je príslušenstvom)</t>
        </is>
      </c>
    </row>
    <row r="554">
      <c r="A554" s="3" t="inlineStr">
        <is>
          <t>DC915NG</t>
        </is>
      </c>
      <c r="B554" s="2" t="inlineStr">
        <is>
          <t>Bezdrôtový zvonček, 200 m, Honeywell</t>
        </is>
      </c>
      <c r="C554" s="1" t="n">
        <v>65.39</v>
      </c>
      <c r="D554" s="7" t="n">
        <f>HYPERLINK("https://www.somogyi.sk/product/bezdrotovy-zvoncek-200-m-honeywell-dc915ng-17299","https://www.somogyi.sk/product/bezdrotovy-zvoncek-200-m-honeywell-dc915ng-17299")</f>
        <v>0.0</v>
      </c>
      <c r="E554" s="7" t="n">
        <f>HYPERLINK("https://www.somogyi.sk/data/img/product_main_images/small/17299.jpg","https://www.somogyi.sk/data/img/product_main_images/small/17299.jpg")</f>
        <v>0.0</v>
      </c>
      <c r="F554" s="2" t="inlineStr">
        <is>
          <t>5004100965622</t>
        </is>
      </c>
      <c r="G554" s="4" t="inlineStr">
        <is>
          <t xml:space="preserve"> • farba: strieborná 
 • bezdrôtový / s káblom: bezdrôtový 
 • Rf dosah na otvorenom teréne: max. 200 m 
 • prevádzková frekvencia: 868 MHz 
 • funkcie: zvuková signalizácia / zvuková a svetelná signalizácia 
 • individuálne kódované: áno 
 • ochrana tlačidla voči vode: IP55 
 • regulovateľná hlasitosť: áno 
 • hlasitosť: max. 90 dB 
 • výber melódie: 11 melódií 
 • načasovaný tichý režim: 3, 6, 9, 12 h 
 • zobrazenie stavu batérií: áno 
 • svetelná signalizácia: LED / 7 farieb rámu / LED stroboskop 
 • príslušenstvo: vnútorná jednotka, tlačidlo, CR2032 batéria 
 • napájanie: vnútorná jednotka:4 x C (nie je príslušenstvom) alebo externá napájacia jednotka (micro USB, 5 V / 500 mA, (nie je príslušenstvom), tlačidlo: CR2032 (je príslušenstvom) 
 • rozmery: vnútorná jednotka: 126 x 126 x 41,8 mm, tlačidlo: 30 x 70 x 16 mm</t>
        </is>
      </c>
    </row>
    <row r="555">
      <c r="A555" s="3" t="inlineStr">
        <is>
          <t>DBK 1401AC</t>
        </is>
      </c>
      <c r="B555" s="2" t="inlineStr">
        <is>
          <t>Bezdrôtový zvonček, 230 V, 140 m</t>
        </is>
      </c>
      <c r="C555" s="1" t="n">
        <v>23.39</v>
      </c>
      <c r="D555" s="7" t="n">
        <f>HYPERLINK("https://www.somogyi.sk/product/bezdrotovy-zvoncek-230-v-140-m-dbk-1401ac-18307","https://www.somogyi.sk/product/bezdrotovy-zvoncek-230-v-140-m-dbk-1401ac-18307")</f>
        <v>0.0</v>
      </c>
      <c r="E555" s="7" t="n">
        <f>HYPERLINK("https://www.somogyi.sk/data/img/product_main_images/small/18307.jpg","https://www.somogyi.sk/data/img/product_main_images/small/18307.jpg")</f>
        <v>0.0</v>
      </c>
      <c r="F555" s="2" t="inlineStr">
        <is>
          <t>5999084963293</t>
        </is>
      </c>
      <c r="G555" s="4" t="inlineStr">
        <is>
          <t xml:space="preserve"> • bezdrôtový / s káblom: bezdrôtový 
 • Rf dosah na otvorenom teréne: ~140 m 
 • prevádzková frekvencia: 433,92 MHz 
 • ochrana tlačidla voči vode: IP44 
 • regulovateľná hlasitosť: 4 stupne 
 • hlasitosť: ~86 dB max. / 0,3 m 
 • výber melódie: 36 melódií 
 • svetelná signalizácia: tichý signál so svetlom; ideálne pre malé deti • melódia / melódia a svetlo / len svetelný signál 
 • napájanie: napájanie tlačidla: kinetická energia • napájanie zvončeka: 230 V~ / 50 Hz 
 • rozmery: tlačidlo / zvonček: 41 x 88 x 33 mm / 83 x 83 x 36 mm</t>
        </is>
      </c>
    </row>
    <row r="556">
      <c r="A556" s="3" t="inlineStr">
        <is>
          <t>D 6</t>
        </is>
      </c>
      <c r="B556" s="2" t="inlineStr">
        <is>
          <t xml:space="preserve">Melodický zvonček s vedením </t>
        </is>
      </c>
      <c r="C556" s="1" t="n">
        <v>19.39</v>
      </c>
      <c r="D556" s="7" t="n">
        <f>HYPERLINK("https://www.somogyi.sk/product/melodicky-zvoncek-s-vedenim-d-6-2783","https://www.somogyi.sk/product/melodicky-zvoncek-s-vedenim-d-6-2783")</f>
        <v>0.0</v>
      </c>
      <c r="E556" s="7" t="n">
        <f>HYPERLINK("https://www.somogyi.sk/data/img/product_main_images/small/02783.jpg","https://www.somogyi.sk/data/img/product_main_images/small/02783.jpg")</f>
        <v>0.0</v>
      </c>
      <c r="F556" s="2" t="inlineStr">
        <is>
          <t>5998312731079</t>
        </is>
      </c>
      <c r="G556" s="4" t="inlineStr">
        <is>
          <t xml:space="preserve"> • bezdrôtový / s káblom: s káblom 
 • Rf dosah na otvorenom teréne: - 
 • prevádzková frekvencia: - 
 • funkcie: pri zazvonení: 1 vybraná melódia / zvoní nasledovná melódia 
 • individuálne kódované: nie 
 • regulovateľná hlasitosť: nie 
 • výber melódie: 8 melódií 
 • zobrazenie stavu batérií: nie 
 • svetelná signalizácia: nie 
 • napájanie: 2 x AA batéria (nie je príslušenstvo) 
 • rozmery: 98 x 155 x 38 mm</t>
        </is>
      </c>
    </row>
    <row r="557">
      <c r="A557" s="3" t="inlineStr">
        <is>
          <t>DBS 1501AC</t>
        </is>
      </c>
      <c r="B557" s="2" t="inlineStr">
        <is>
          <t>Set bezdrôtového zvončeka, 2 zvončeky, 230 V~, 150 m</t>
        </is>
      </c>
      <c r="C557" s="1" t="n">
        <v>31.09</v>
      </c>
      <c r="D557" s="7" t="n">
        <f>HYPERLINK("https://www.somogyi.sk/product/set-bezdrotoveho-zvonceka-2-zvonceky-230-v-150-m-dbs-1501ac-15841","https://www.somogyi.sk/product/set-bezdrotoveho-zvonceka-2-zvonceky-230-v-150-m-dbs-1501ac-15841")</f>
        <v>0.0</v>
      </c>
      <c r="E557" s="7" t="n">
        <f>HYPERLINK("https://www.somogyi.sk/data/img/product_main_images/small/15841.jpg","https://www.somogyi.sk/data/img/product_main_images/small/15841.jpg")</f>
        <v>0.0</v>
      </c>
      <c r="F557" s="2" t="inlineStr">
        <is>
          <t>5999084938758</t>
        </is>
      </c>
      <c r="G557" s="4" t="inlineStr">
        <is>
          <t xml:space="preserve"> • bezdrôtový / s káblom: bezdrôtový 
 • Rf dosah na otvorenom teréne: cca. 150 m 
 • prevádzková frekvencia: 433,9 MHz 
 • individuálne kódované: áno 
 • regulovateľná hlasitosť: 4 stupne 
 • výber melódie: 36 melódií 
 • svetelná signalizácia: blikajúci svetelný signál pri zvonení 
 • príslušenstvo: 2 vnútorné jednotky, 1 tlačidlo 
 • napájanie: vnútorná jednotka: 230 V~ / tlačidlo: LR23A batéria (je príslušenstvom) 
 • rozmery: vnútorná jednotka: 50 x 100 x 35 mm / tlačidlo: 45 x 70 x 20 mm</t>
        </is>
      </c>
    </row>
    <row r="558">
      <c r="A558" s="3" t="inlineStr">
        <is>
          <t>DB1401DC</t>
        </is>
      </c>
      <c r="B558" s="2" t="inlineStr">
        <is>
          <t>Bezdrôtový zvonček, 3 x AA</t>
        </is>
      </c>
      <c r="C558" s="1" t="n">
        <v>19.69</v>
      </c>
      <c r="D558" s="7" t="n">
        <f>HYPERLINK("https://www.somogyi.sk/product/bezdrotovy-zvoncek-3-x-aa-db1401dc-18583","https://www.somogyi.sk/product/bezdrotovy-zvoncek-3-x-aa-db1401dc-18583")</f>
        <v>0.0</v>
      </c>
      <c r="E558" s="7" t="n">
        <f>HYPERLINK("https://www.somogyi.sk/data/img/product_main_images/small/18583.jpg","https://www.somogyi.sk/data/img/product_main_images/small/18583.jpg")</f>
        <v>0.0</v>
      </c>
      <c r="F558" s="2" t="inlineStr">
        <is>
          <t>5999084966010</t>
        </is>
      </c>
      <c r="G558" s="4" t="inlineStr">
        <is>
          <t xml:space="preserve"> • Rf dosah na otvorenom teréne: cca. 140 m 
 • prevádzková frekvencia: 433,92 MHz 
 • funkcie: 3 voliteľné prevádzkové režimy (zvukový a svetelný signál, iba svetelný signál, iba zvukový signál) 
 • individuálne kódované: individuálne kódovanie s funkciou učenia 
 • ochrana tlačidla voči vode: IP44 
 • regulovateľná hlasitosť: 4 nastaviteľné stupne 
 • hlasitosť: max. 82 dB 
 • výber melódie: 38 známych melódií 
 • možnosť rozšírenia: súčasne je možné pridať až 8 tlačidiel (v prípade zakúpenia viacerých sád) 
 • napájanie: napájanie zvončeka: 3 x 1,5 V AA batéria, nie je príslušenstvom  • napájanie tlačidla: 1 x 3 V CR2032, je príslušenstvom 
 • rozmery: Ø12,5 x 3,6 cm / 4 x 8,3 x 1,8 cm</t>
        </is>
      </c>
    </row>
    <row r="559">
      <c r="A559" s="3" t="inlineStr">
        <is>
          <t>DC315SCVL</t>
        </is>
      </c>
      <c r="B559" s="2" t="inlineStr">
        <is>
          <t>Bezdrôtový zvonček, Honeywell, prevodník: z káblového na bezdrôtový</t>
        </is>
      </c>
      <c r="C559" s="1" t="n">
        <v>35.19</v>
      </c>
      <c r="D559" s="7" t="n">
        <f>HYPERLINK("https://www.somogyi.sk/product/bezdrotovy-zvoncek-honeywell-prevodnik-z-kabloveho-na-bezdrotovy-dc315scvl-19265","https://www.somogyi.sk/product/bezdrotovy-zvoncek-honeywell-prevodnik-z-kabloveho-na-bezdrotovy-dc315scvl-19265")</f>
        <v>0.0</v>
      </c>
      <c r="E559" s="7" t="n">
        <f>HYPERLINK("https://www.somogyi.sk/data/img/product_main_images/small/19265.jpg","https://www.somogyi.sk/data/img/product_main_images/small/19265.jpg")</f>
        <v>0.0</v>
      </c>
      <c r="F559" s="2" t="inlineStr">
        <is>
          <t>5004100969941</t>
        </is>
      </c>
      <c r="G559" s="4" t="inlineStr">
        <is>
          <t xml:space="preserve"> • dosah: max. 150 m 
 • dá sa tiež pripojiť k existujúcemu káblovému tlačidlu pomocou priloženého adaptéra 
 • bezdrôtové tlačidlo je príslušenstvom 
 • 6 voliteľných melódií 
 • hlasitosť: max 84 dB, 80 m 
 • režim časovača spánku/stlmenia: 3, 6, 9, 12 h alebo na neurčito 
 • LED osvetlenie rámu v 7 farbách 
 • blikajúce LED svetlo pri zvonení 
 • nastaviteľná hlasitosť 
 • ovláda až 4 bezdrôtové tlačidlá súčasne 
 • tlačidlo s ochranou IP55 
 • frekvencia zvončeka: 868 MHz/150m 
 • frekvencia tlačidla: 868 MHz/200 m 
 • napájanie zvončeka: 4 x 1,5 V AA (LR6) batéria, nie je príslušenstvom 
 • napájanie tlačidla: 1 x 3 V (CR2032) gombíková batéria, je príslušenstvom 
 • rozmery: 
 • vnútorná jednotka: 70 x 110 x 42,5 mm 
 • tlačidlo: 30 x 70 x 16 mm</t>
        </is>
      </c>
    </row>
    <row r="560">
      <c r="A560" s="3" t="inlineStr">
        <is>
          <t>DC515NP2</t>
        </is>
      </c>
      <c r="B560" s="2" t="inlineStr">
        <is>
          <t>Bezdrôtový zvonček, 230 V~/50 Hz, Honeywell</t>
        </is>
      </c>
      <c r="C560" s="1" t="n">
        <v>65.39</v>
      </c>
      <c r="D560" s="7" t="n">
        <f>HYPERLINK("https://www.somogyi.sk/product/bezdrotovy-zvoncek-230-v-50-hz-honeywell-dc515np2-17297","https://www.somogyi.sk/product/bezdrotovy-zvoncek-230-v-50-hz-honeywell-dc515np2-17297")</f>
        <v>0.0</v>
      </c>
      <c r="E560" s="7" t="n">
        <f>HYPERLINK("https://www.somogyi.sk/data/img/product_main_images/small/17297.jpg","https://www.somogyi.sk/data/img/product_main_images/small/17297.jpg")</f>
        <v>0.0</v>
      </c>
      <c r="F560" s="2" t="inlineStr">
        <is>
          <t>5004100965554</t>
        </is>
      </c>
      <c r="G560" s="4" t="inlineStr">
        <is>
          <t xml:space="preserve"> • farba: biela/sivá 
 • bezdrôtový / s káblom: bezdrôtový 
 • Rf dosah na otvorenom teréne: max. 150 m 
 • prevádzková frekvencia: 868 MHz 
 • funkcie: zvuková signalizácia / zvuková a svetelná signalizácia 
 • ochrana tlačidla voči vode: IP55 
 • regulovateľná hlasitosť: áno 
 • hlasitosť: max. 84 dB 
 • výber melódie: 9 melódií 
 • načasovaný tichý režim: 3, 6, 9, 12 h 
 • svetelná signalizácia: LED / 7 farieb rámu / LED stroboskop 
 • príslušenstvo: vnútorná jednotka, tlačidlo, CR2032 batéria 
 • napájanie: vnútorná jednotka: 230 V~  / 50 Hz, tlačidlo: CR2032 batéria (je príslušenstvom) 
 • rozmery: vnútorná jednotka: 70 x 70 x 76,5 mm • tlačidlo: 70 x 30 x 15 mm</t>
        </is>
      </c>
    </row>
    <row r="561">
      <c r="A561" s="3" t="inlineStr">
        <is>
          <t>DB 1050DC</t>
        </is>
      </c>
      <c r="B561" s="2" t="inlineStr">
        <is>
          <t>Bezdrôtový zvonček, 100 m</t>
        </is>
      </c>
      <c r="C561" s="1" t="n">
        <v>13.59</v>
      </c>
      <c r="D561" s="7" t="n">
        <f>HYPERLINK("https://www.somogyi.sk/product/bezdrotovy-zvoncek-100-m-db-1050dc-17161","https://www.somogyi.sk/product/bezdrotovy-zvoncek-100-m-db-1050dc-17161")</f>
        <v>0.0</v>
      </c>
      <c r="E561" s="7" t="n">
        <f>HYPERLINK("https://www.somogyi.sk/data/img/product_main_images/small/17161.jpg","https://www.somogyi.sk/data/img/product_main_images/small/17161.jpg")</f>
        <v>0.0</v>
      </c>
      <c r="F561" s="2" t="inlineStr">
        <is>
          <t>5999084951931</t>
        </is>
      </c>
      <c r="G561" s="4" t="inlineStr">
        <is>
          <t xml:space="preserve"> • farba: biela 
 • bezdrôtový / s káblom: bezdrôtový 
 • Rf dosah na otvorenom teréne: ~100 m 
 • prevádzková frekvencia: 433,9 MHz 
 • individuálne kódované: individuálne kódovanie s funkciou učenia 
 • ochrana tlačidla voči vode: IP44 
 • výber melódie: 36 melódií 
 • možnosť rozšírenia: dá sa používať až s 8 tlačidlami 
 • napájanie: napájanie tlačidla: 1 x 3 V (CR2032) gombíková batéria, je príslušenstvom / napájanie zvončeka: 3 x 1,5 V AA (LR6) batéria, nie je príslušenstvom 
 • rozmery: rozmery zvončeka: 94 x 70 x 30 mm / rozmery tlačidla: 89 x 89 x 15 mm</t>
        </is>
      </c>
    </row>
    <row r="562">
      <c r="A562" s="3" t="inlineStr">
        <is>
          <t>DB 1051AC</t>
        </is>
      </c>
      <c r="B562" s="2" t="inlineStr">
        <is>
          <t>Bezdrôtový zvonček, 100 m,  230 V~</t>
        </is>
      </c>
      <c r="C562" s="1" t="n">
        <v>12.99</v>
      </c>
      <c r="D562" s="7" t="n">
        <f>HYPERLINK("https://www.somogyi.sk/product/bezdrotovy-zvoncek-100-m-230-v-db-1051ac-17308","https://www.somogyi.sk/product/bezdrotovy-zvoncek-100-m-230-v-db-1051ac-17308")</f>
        <v>0.0</v>
      </c>
      <c r="E562" s="7" t="n">
        <f>HYPERLINK("https://www.somogyi.sk/data/img/product_main_images/small/17308.jpg","https://www.somogyi.sk/data/img/product_main_images/small/17308.jpg")</f>
        <v>0.0</v>
      </c>
      <c r="F562" s="2" t="inlineStr">
        <is>
          <t>5999084953300</t>
        </is>
      </c>
      <c r="G562" s="4" t="inlineStr">
        <is>
          <t xml:space="preserve"> • farba: biela 
 • bezdrôtový / s káblom: bezdrôtový 
 • Rf dosah na otvorenom teréne: ~100 m 
 • prevádzková frekvencia: 433,92 MHz 
 • individuálne kódované: individuálne kódovanie s funkciou učenia 
 • ochrana tlačidla voči vode: IP44 
 • regulovateľná hlasitosť: nastaviteľná hlasitosť v 3 stupňoch 
 • výber melódie: 36 melódií 
 • možnosť rozšírenia: dá sa používať až s 8 tlačidlami 
 • napájanie: napájanie tlačidla: 1 x 3 V (CR2032) gombíková batéria, je príslušenstvom / napájanie zvončeka: 230 V~ / 50 Hz / 0,5 W</t>
        </is>
      </c>
    </row>
    <row r="563">
      <c r="A563" s="3" t="inlineStr">
        <is>
          <t>DC311N</t>
        </is>
      </c>
      <c r="B563" s="2" t="inlineStr">
        <is>
          <t>Bezdrôtový zvonček, 150 m, Honeywell</t>
        </is>
      </c>
      <c r="C563" s="1" t="n">
        <v>41.79</v>
      </c>
      <c r="D563" s="7" t="n">
        <f>HYPERLINK("https://www.somogyi.sk/product/bezdrotovy-zvoncek-150-m-honeywell-dc311n-17292","https://www.somogyi.sk/product/bezdrotovy-zvoncek-150-m-honeywell-dc311n-17292")</f>
        <v>0.0</v>
      </c>
      <c r="E563" s="7" t="n">
        <f>HYPERLINK("https://www.somogyi.sk/data/img/product_main_images/small/17292.jpg","https://www.somogyi.sk/data/img/product_main_images/small/17292.jpg")</f>
        <v>0.0</v>
      </c>
      <c r="F563" s="2" t="inlineStr">
        <is>
          <t>5004100965349</t>
        </is>
      </c>
      <c r="G563" s="4" t="inlineStr">
        <is>
          <t xml:space="preserve"> • farba: biela/sivá 
 • bezdrôtový / s káblom: bezdrôtový 
 • Rf dosah na otvorenom teréne: max. 150 m 
 • prevádzková frekvencia: 868 MHz 
 • ochrana tlačidla voči vode: IP55 
 • regulovateľná hlasitosť: nie 
 • hlasitosť: max. 80 dB 
 • výber melódie: 4 melódie 
 • príslušenstvo: vnútorná jednotka, tlačidlo, CR2032 batéria 
 • napájanie: vnútorná jednotka:4 x AA (nie je príslušenstvom), tlačidlo: CR2032 batéria (je príslušenstvom) 
 • rozmery: vnútorná jednotka: 110 x 70 x 40 mm / tlačidlo: 70 x 30 x 15 mm</t>
        </is>
      </c>
    </row>
    <row r="564">
      <c r="A564" s="3" t="inlineStr">
        <is>
          <t>DC313NG</t>
        </is>
      </c>
      <c r="B564" s="2" t="inlineStr">
        <is>
          <t>Bezdrôtový zvonček, 150 m, Honeywell</t>
        </is>
      </c>
      <c r="C564" s="1" t="n">
        <v>27.49</v>
      </c>
      <c r="D564" s="7" t="n">
        <f>HYPERLINK("https://www.somogyi.sk/product/bezdrotovy-zvoncek-150-m-honeywell-dc313ng-19266","https://www.somogyi.sk/product/bezdrotovy-zvoncek-150-m-honeywell-dc313ng-19266")</f>
        <v>0.0</v>
      </c>
      <c r="E564" s="7" t="n">
        <f>HYPERLINK("https://www.somogyi.sk/data/img/product_main_images/small/19266.jpg","https://www.somogyi.sk/data/img/product_main_images/small/19266.jpg")</f>
        <v>0.0</v>
      </c>
      <c r="F564" s="2" t="inlineStr">
        <is>
          <t>5004100965417</t>
        </is>
      </c>
      <c r="G564" s="4" t="inlineStr">
        <is>
          <t xml:space="preserve"> • dosah: max. 150 m 
 • hlasitosť: max 84 dB, 80 m 
 • 6 voliteľných melódií 
 • LED svetlo pri zvonení 
 • nastaviteľná hlasitosť 
 • tlačidlo s ochranou IP55 
 • frekvencia: 868 MHz 
 • napájanie zvončeka: 4 x 1,5 V (AA) LR6 batéria, nie je príslušenstvom 
 • napájanie tlačidla: 1 x 3 V (CR2032) batéria, je príslušenstvom 
 • rozmery: 
 • vnútorná jednotka: 70 x 110 x 40 mm 
 • tlačidlo: 30 x 70 x 15 mm</t>
        </is>
      </c>
    </row>
    <row r="565">
      <c r="A565" s="6" t="inlineStr">
        <is>
          <t xml:space="preserve">   Bytové doplnky / Meteorologická stanica, teplomer</t>
        </is>
      </c>
      <c r="B565" s="6" t="inlineStr">
        <is>
          <t/>
        </is>
      </c>
      <c r="C565" s="6" t="inlineStr">
        <is>
          <t/>
        </is>
      </c>
      <c r="D565" s="6" t="inlineStr">
        <is>
          <t/>
        </is>
      </c>
      <c r="E565" s="6" t="inlineStr">
        <is>
          <t/>
        </is>
      </c>
      <c r="F565" s="6" t="inlineStr">
        <is>
          <t/>
        </is>
      </c>
      <c r="G565" s="6" t="inlineStr">
        <is>
          <t/>
        </is>
      </c>
    </row>
    <row r="566">
      <c r="A566" s="3" t="inlineStr">
        <is>
          <t>HCW 01</t>
        </is>
      </c>
      <c r="B566" s="2" t="inlineStr">
        <is>
          <t>Meteostanica s vonkajšou jednotkou</t>
        </is>
      </c>
      <c r="C566" s="1" t="n">
        <v>28.99</v>
      </c>
      <c r="D566" s="7" t="n">
        <f>HYPERLINK("https://www.somogyi.sk/product/meteostanica-s-vonkajsou-jednotkou-hcw-01-17547","https://www.somogyi.sk/product/meteostanica-s-vonkajsou-jednotkou-hcw-01-17547")</f>
        <v>0.0</v>
      </c>
      <c r="E566" s="7" t="n">
        <f>HYPERLINK("https://www.somogyi.sk/data/img/product_main_images/small/17547.jpg","https://www.somogyi.sk/data/img/product_main_images/small/17547.jpg")</f>
        <v>0.0</v>
      </c>
      <c r="F566" s="2" t="inlineStr">
        <is>
          <t>5999084955694</t>
        </is>
      </c>
      <c r="G566" s="4" t="inlineStr">
        <is>
          <t xml:space="preserve"> • zobrazenie času 12/24 h: áno 
 • opakované budenie: 1 (snooze: 5-60 min.) 
 • frekvencia vonk. jednotky / dosah: 433,92 MHz signalizátor vonkajšej teploty a vlhkosti / 60 m dosah na otvorenom teréne 
 • maximálny počet vonkajších jednotiek: 3 ks 
 • príslušenstvo vonkajšia jednotka: 1 ks (HCKK 10) 
 • zobrazenie vonkajšej teploty: -40 –  60 °C / 0,1 °C 
 • zobrazenie vonkajšej vlhkosti vzduchu: 20 – 95 % RH 
 • zobrazenie vnútornej teploty: -10 –  50 °C / 0,1 °C 
 • zobrazenie vnútornej vlhkosti vzduchu: 1 – 99 % RH 
 • zobrazenie maximálnej a minimálnej hodnoty: áno 
 • napájanie vonkajšej jednotky: 2 x 1,5 V (AA) batéria (nie je príslušenstvom) 
 • napájanie vnútornej jednotky: 2 x 1,5 V (AAA) batéria (nie je príslušenstvom) 
 • rozmery vonkajšej jednotky: 38 x 100 x 22 mm 
 • umiestnenie: stojanový, nástenný 
 • rozmery vnútornej jednotky: 76 x 128 x 21 (56) mm 
 • rozmer displeja vnútornej jednotky: 50 x 80 mm</t>
        </is>
      </c>
    </row>
    <row r="567">
      <c r="A567" s="3" t="inlineStr">
        <is>
          <t>HC 16</t>
        </is>
      </c>
      <c r="B567" s="2" t="inlineStr">
        <is>
          <t>Teplo- a vlhkomer s hodinami</t>
        </is>
      </c>
      <c r="C567" s="1" t="n">
        <v>11.59</v>
      </c>
      <c r="D567" s="7" t="n">
        <f>HYPERLINK("https://www.somogyi.sk/product/teplo-a-vlhkomer-s-hodinami-hc-16-17562","https://www.somogyi.sk/product/teplo-a-vlhkomer-s-hodinami-hc-16-17562")</f>
        <v>0.0</v>
      </c>
      <c r="E567" s="7" t="n">
        <f>HYPERLINK("https://www.somogyi.sk/data/img/product_main_images/small/17562.jpg","https://www.somogyi.sk/data/img/product_main_images/small/17562.jpg")</f>
        <v>0.0</v>
      </c>
      <c r="F567" s="2" t="inlineStr">
        <is>
          <t>5999084955847</t>
        </is>
      </c>
      <c r="G567" s="4" t="inlineStr">
        <is>
          <t xml:space="preserve"> • dotykový displej: nie 
 • barometer: nie 
 • zobrazenie času 12/24 h: áno 
 • zobrazenie vnútornej teploty: -10 -  50 °C 
 • zobrazenie vnútornej vlhkosti vzduchu: RH 17% - 99% 
 • zobrazenie maximálnej a minimálnej hodnoty: áno 
 • umiestnenie: stojanový, nástenný 
 • napájanie: 2 x 1,5 V (AAA) batéria (nie je príslušenstvom) 
 • rozmery vnútornej jednotky: 92 x 80 x 25,5 mm 
 • rozmer displeja vnútornej jednotky: 62 x 53 mm</t>
        </is>
      </c>
    </row>
    <row r="568">
      <c r="A568" s="3" t="inlineStr">
        <is>
          <t>HC 13</t>
        </is>
      </c>
      <c r="B568" s="2" t="inlineStr">
        <is>
          <t>Teplo- a vlhkomer s budíkom</t>
        </is>
      </c>
      <c r="C568" s="1" t="n">
        <v>12.79</v>
      </c>
      <c r="D568" s="7" t="n">
        <f>HYPERLINK("https://www.somogyi.sk/product/teplo-a-vlhkomer-s-budikom-hc-13-12203","https://www.somogyi.sk/product/teplo-a-vlhkomer-s-budikom-hc-13-12203")</f>
        <v>0.0</v>
      </c>
      <c r="E568" s="7" t="n">
        <f>HYPERLINK("https://www.somogyi.sk/data/img/product_main_images/small/12203.jpg","https://www.somogyi.sk/data/img/product_main_images/small/12203.jpg")</f>
        <v>0.0</v>
      </c>
      <c r="F568" s="2" t="inlineStr">
        <is>
          <t>5999084903855</t>
        </is>
      </c>
      <c r="G568" s="4" t="inlineStr">
        <is>
          <t xml:space="preserve"> • dotykový displej: nie 
 • osvetlenie pozadia: nie 
 • barometer: nie 
 • hodiny riadené rádiovým signálom DCF77: nie 
 • časové pásmo: nie 
 • zobrazenie času 12/24 h: áno 
 • opakované budenie: 1 
 • frekvencia vonk. jednotky / dosah: - 
 • maximálny počet vonkajších jednotiek: - 
 • príslušenstvo vonkajšia jednotka: - 
 • zobrazenie vonkajšej teploty: - 
 • zobrazenie vonkajšej vlhkosti vzduchu: nie 
 • zobrazenie vnútornej teploty: áno 
 • zobrazenie vnútornej vlhkosti vzduchu: áno 
 • zobrazenie maximálnej a minimálnej hodnoty: áno 
 • napájanie vonkajšej jednotky: - 
 • napájanie vnútornej jednotky: 2 x (AAA) batéria (nie je príslušenstvo) 
 • rozmery vonkajšej jednotky: - 
 • rozmery vnútornej jednotky: 7,3 x 12,3 x 2,2 cm 
 • rozmer displeja vnútornej jednotky: 4,1 x 5,3 cm</t>
        </is>
      </c>
    </row>
    <row r="569">
      <c r="A569" s="3" t="inlineStr">
        <is>
          <t>HC 12</t>
        </is>
      </c>
      <c r="B569" s="2" t="inlineStr">
        <is>
          <t>Vonkajší-vnútorný teplomer po drôte s hodinami</t>
        </is>
      </c>
      <c r="C569" s="1" t="n">
        <v>12.79</v>
      </c>
      <c r="D569" s="7" t="n">
        <f>HYPERLINK("https://www.somogyi.sk/product/vonkajsi-vnutorny-teplomer-po-drote-s-hodinami-hc-12-12202","https://www.somogyi.sk/product/vonkajsi-vnutorny-teplomer-po-drote-s-hodinami-hc-12-12202")</f>
        <v>0.0</v>
      </c>
      <c r="E569" s="7" t="n">
        <f>HYPERLINK("https://www.somogyi.sk/data/img/product_main_images/small/12202.jpg","https://www.somogyi.sk/data/img/product_main_images/small/12202.jpg")</f>
        <v>0.0</v>
      </c>
      <c r="F569" s="2" t="inlineStr">
        <is>
          <t>5999084903848</t>
        </is>
      </c>
      <c r="G569" s="4" t="inlineStr">
        <is>
          <t xml:space="preserve"> • dotykový displej: nie 
 • osvetlenie pozadia: nie 
 • barometer: nie 
 • hodiny riadené rádiovým signálom DCF77: nie 
 • časové pásmo: nie 
 • zobrazenie času 12/24 h: áno 
 • opakované budenie: - 
 • frekvencia vonk. jednotky / dosah: - 
 • maximálny počet vonkajších jednotiek: - 
 • príslušenstvo vonkajšia jednotka: sonda s káblom 
 • zobrazenie vonkajšej teploty: -50°C - +70°C 
 • zobrazenie vonkajšej vlhkosti vzduchu: nie 
 • zobrazenie vnútornej teploty: -9°C - +50°C 
 • zobrazenie vnútornej vlhkosti vzduchu: nie 
 • zobrazenie maximálnej a minimálnej hodnoty: áno 
 • napájanie vonkajšej jednotky: - 
 • napájanie vnútornej jednotky: 2 x (AAA) batéria (nie je príslušenstvo) 
 • rozmery vonkajšej jednotky: - 
 • rozmery vnútornej jednotky: 7 x 12 x 2 cm 
 • rozmer displeja vnútornej jednotky: 4,1 x 5,3 cm</t>
        </is>
      </c>
    </row>
    <row r="570">
      <c r="A570" s="3" t="inlineStr">
        <is>
          <t>HC 11</t>
        </is>
      </c>
      <c r="B570" s="2" t="inlineStr">
        <is>
          <t>Bezdrôtový vonkajší-vnútorný teplomer s budíkom</t>
        </is>
      </c>
      <c r="C570" s="1" t="n">
        <v>21.69</v>
      </c>
      <c r="D570" s="7" t="n">
        <f>HYPERLINK("https://www.somogyi.sk/product/bezdrotovy-vonkajsi-vnutorny-teplomer-s-budikom-hc-11-12201","https://www.somogyi.sk/product/bezdrotovy-vonkajsi-vnutorny-teplomer-s-budikom-hc-11-12201")</f>
        <v>0.0</v>
      </c>
      <c r="E570" s="7" t="n">
        <f>HYPERLINK("https://www.somogyi.sk/data/img/product_main_images/small/12201.jpg","https://www.somogyi.sk/data/img/product_main_images/small/12201.jpg")</f>
        <v>0.0</v>
      </c>
      <c r="F570" s="2" t="inlineStr">
        <is>
          <t>5999084903831</t>
        </is>
      </c>
      <c r="G570" s="4" t="inlineStr">
        <is>
          <t xml:space="preserve"> • dotykový displej: nie 
 • osvetlenie pozadia: nie 
 • barometer: nie 
 • hodiny riadené rádiovým signálom DCF77: nie 
 • časové pásmo: nie 
 • zobrazenie času 12/24 h: áno 
 • opakované budenie: 1 
 • frekvencia vonk. jednotky / dosah: 433,92 MHz / max. 60 m 
 • maximálny počet vonkajších jednotiek: 1 ks 
 • príslušenstvo vonkajšia jednotka: 1 
 • zobrazenie vonkajšej teploty: -20°C - +60°C 
 • zobrazenie vonkajšej vlhkosti vzduchu: nie 
 • zobrazenie vnútornej teploty: -9°C - +50°C 
 • zobrazenie vnútornej vlhkosti vzduchu: nie 
 • zobrazenie maximálnej a minimálnej hodnoty: áno 
 • napájanie vonkajšej jednotky: 2 x (AAA) batéria (nie je príslušenstvo) 
 • napájanie vnútornej jednotky: 2 x (AAA) batéria (nie je príslušenstvo) 
 • rozmery vonkajšej jednotky: 6 x 9,5 x 2,5 cm 
 • rozmery vnútornej jednotky: 7,5 x 12, 5 x 2 cm 
 • rozmer displeja vnútornej jednotky: 4,1 x 5,3 cm 
 • ďalšie informácie: externý vysielač je možné nahradiť typom HCKK 04</t>
        </is>
      </c>
    </row>
    <row r="571">
      <c r="A571" s="3" t="inlineStr">
        <is>
          <t>HCKK 04</t>
        </is>
      </c>
      <c r="B571" s="2" t="inlineStr">
        <is>
          <t>Vonkajšia jednotka k meteorologickej stanici HCW 21</t>
        </is>
      </c>
      <c r="C571" s="1" t="n">
        <v>8.69</v>
      </c>
      <c r="D571" s="7" t="n">
        <f>HYPERLINK("https://www.somogyi.sk/product/vonkajsia-jednotka-k-meteorologickej-stanici-hcw-21-hckk-04-12025","https://www.somogyi.sk/product/vonkajsia-jednotka-k-meteorologickej-stanici-hcw-21-hckk-04-12025")</f>
        <v>0.0</v>
      </c>
      <c r="E571" s="7" t="n">
        <f>HYPERLINK("https://www.somogyi.sk/data/img/product_main_images/small/12025.jpg","https://www.somogyi.sk/data/img/product_main_images/small/12025.jpg")</f>
        <v>0.0</v>
      </c>
      <c r="F571" s="2" t="inlineStr">
        <is>
          <t>5999084902377</t>
        </is>
      </c>
      <c r="G571" s="4" t="inlineStr">
        <is>
          <t xml:space="preserve"> • dotykový displej: nie 
 • osvetlenie pozadia: nie 
 • barometer: nie 
 • hodiny riadené rádiovým signálom DCF77: nie 
 • časové pásmo: nie 
 • zobrazenie času 12/24 h: nie 
 • opakované budenie: - 
 • frekvencia vonk. jednotky / dosah: 433,92 MHz 
 • maximálny počet vonkajších jednotiek: - 
 • príslušenstvo vonkajšia jednotka: - 
 • zobrazenie vonkajšej teploty: áno 
 • zobrazenie vonkajšej vlhkosti vzduchu: áno 
 • zobrazenie vnútornej teploty: nie 
 • zobrazenie vnútornej vlhkosti vzduchu: nie 
 • zobrazenie maximálnej a minimálnej hodnoty: nie 
 • napájanie vonkajšej jednotky: 2 x (AAA) batéria (nie je príslušenstvo) 
 • napájanie vnútornej jednotky: - 
 • rozmery vonkajšej jednotky: 6 x 9,5 x 2,5 cm 
 • rozmery vnútornej jednotky: - 
 • rozmer displeja vnútornej jednotky: -</t>
        </is>
      </c>
    </row>
    <row r="572">
      <c r="A572" s="3" t="inlineStr">
        <is>
          <t>HCKK 08</t>
        </is>
      </c>
      <c r="B572" s="2" t="inlineStr">
        <is>
          <t>Vonkajšia jednotka (thermo/hygro) k HCW 25</t>
        </is>
      </c>
      <c r="C572" s="1" t="n">
        <v>8.69</v>
      </c>
      <c r="D572" s="7" t="n">
        <f>HYPERLINK("https://www.somogyi.sk/product/vonkajsia-jednotka-thermo-hygro-k-hcw-25-hckk-08-16309","https://www.somogyi.sk/product/vonkajsia-jednotka-thermo-hygro-k-hcw-25-hckk-08-16309")</f>
        <v>0.0</v>
      </c>
      <c r="E572" s="7" t="n">
        <f>HYPERLINK("https://www.somogyi.sk/data/img/product_main_images/small/16309.jpg","https://www.somogyi.sk/data/img/product_main_images/small/16309.jpg")</f>
        <v>0.0</v>
      </c>
      <c r="F572" s="2" t="inlineStr">
        <is>
          <t>5999084943417</t>
        </is>
      </c>
      <c r="G572" s="4" t="inlineStr">
        <is>
          <t xml:space="preserve"> • frekvencia vonk. jednotky / dosah: 433,92 MHz / 60 m 
 • zobrazenie vonkajšej teploty: áno 
 • zobrazenie vonkajšej vlhkosti vzduchu: áno 
 • napájanie vonkajšej jednotky: 2 x (AAA) batéria (nie je príslušenstvom) 
 • rozmery vonkajšej jednotky: N48 x 82 x 26 mm 
 • umiestnenie: možno zavesiť na stenu alebo položiť na stôl</t>
        </is>
      </c>
    </row>
    <row r="573">
      <c r="A573" s="3" t="inlineStr">
        <is>
          <t>HCW 25</t>
        </is>
      </c>
      <c r="B573" s="2" t="inlineStr">
        <is>
          <t>Meteostanica s vonkajším senzorom</t>
        </is>
      </c>
      <c r="C573" s="1" t="n">
        <v>63.89</v>
      </c>
      <c r="D573" s="7" t="n">
        <f>HYPERLINK("https://www.somogyi.sk/product/meteostanica-s-vonkajsim-senzorom-hcw-25-16264","https://www.somogyi.sk/product/meteostanica-s-vonkajsim-senzorom-hcw-25-16264")</f>
        <v>0.0</v>
      </c>
      <c r="E573" s="7" t="n">
        <f>HYPERLINK("https://www.somogyi.sk/data/img/product_main_images/small/16264.jpg","https://www.somogyi.sk/data/img/product_main_images/small/16264.jpg")</f>
        <v>0.0</v>
      </c>
      <c r="F573" s="2" t="inlineStr">
        <is>
          <t>5999084942960</t>
        </is>
      </c>
      <c r="G573" s="4" t="inlineStr">
        <is>
          <t xml:space="preserve"> • zobrazenie času 12/24 h: áno 
 • opakované budenie: 2 (opakované budenie 3 – 20 min) 
 • frekvencia vonk. jednotky / dosah: 433,92MHz / 60 m 
 • maximálny počet vonkajších jednotiek: 3 ks 
 • príslušenstvo vonkajšia jednotka: 1 
 • zobrazenie vonkajšej teploty: áno 
 • zobrazenie vonkajšej vlhkosti vzduchu: áno 
 • zobrazenie vnútornej teploty: áno 
 • zobrazenie vnútornej vlhkosti vzduchu: áno 
 • napájanie vonkajšej jednotky: 2 x AAA batéria (nie je príslušenstvom) 
 • napájanie vnútornej jednotky: 230 V~ (adaptér) alebo 3 x AAA batéria (nie je príslušenstvom) 
 • rozmery vnútornej jednotky: 210 x 138 x 22 (60) mm</t>
        </is>
      </c>
    </row>
    <row r="574">
      <c r="A574" s="3" t="inlineStr">
        <is>
          <t>HCKK 10</t>
        </is>
      </c>
      <c r="B574" s="2" t="inlineStr">
        <is>
          <t>Vonkajšia jednotka k HCW 01</t>
        </is>
      </c>
      <c r="C574" s="1" t="n">
        <v>8.69</v>
      </c>
      <c r="D574" s="7" t="n">
        <f>HYPERLINK("https://www.somogyi.sk/product/vonkajsia-jednotka-k-hcw-01-hckk-10-17546","https://www.somogyi.sk/product/vonkajsia-jednotka-k-hcw-01-hckk-10-17546")</f>
        <v>0.0</v>
      </c>
      <c r="E574" s="7" t="n">
        <f>HYPERLINK("https://www.somogyi.sk/data/img/product_main_images/small/17546.jpg","https://www.somogyi.sk/data/img/product_main_images/small/17546.jpg")</f>
        <v>0.0</v>
      </c>
      <c r="F574" s="2" t="inlineStr">
        <is>
          <t>5999084955687</t>
        </is>
      </c>
      <c r="G574" s="4" t="inlineStr">
        <is>
          <t xml:space="preserve"> • frekvencia vonk. jednotky / dosah: 433,92 MHz / max. 60 m 
 • rozmery vonkajšej jednotky: 3,8 x 10 x 2,2 cm 
 • umiestnenie: možno zavesiť na stenu alebo položiť na stôl 
 • napájanie: 2 x 1,5 V (AA) batéria, nie je príslušenstvom</t>
        </is>
      </c>
    </row>
    <row r="575">
      <c r="A575" s="3" t="inlineStr">
        <is>
          <t>HCKK 09</t>
        </is>
      </c>
      <c r="B575" s="2" t="inlineStr">
        <is>
          <t>Vonkajšia jednotka k HCW 28</t>
        </is>
      </c>
      <c r="C575" s="1" t="n">
        <v>8.69</v>
      </c>
      <c r="D575" s="7" t="n">
        <f>HYPERLINK("https://www.somogyi.sk/product/vonkajsia-jednotka-k-hcw-28-hckk-09-16920","https://www.somogyi.sk/product/vonkajsia-jednotka-k-hcw-28-hckk-09-16920")</f>
        <v>0.0</v>
      </c>
      <c r="E575" s="7" t="n">
        <f>HYPERLINK("https://www.somogyi.sk/data/img/product_main_images/small/16920.jpg","https://www.somogyi.sk/data/img/product_main_images/small/16920.jpg")</f>
        <v>0.0</v>
      </c>
      <c r="F575" s="2" t="inlineStr">
        <is>
          <t>5999084949525</t>
        </is>
      </c>
      <c r="G575" s="4" t="inlineStr">
        <is>
          <t xml:space="preserve"> • frekvencia vonk. jednotky / dosah: 433,92 MHz / 60 m 
 • zobrazenie vonkajšej teploty: áno 
 • zobrazenie vonkajšej vlhkosti vzduchu: áno 
 • napájanie vonkajšej jednotky: 2 x (AAA) batéria (nie je príslušenstvom) 
 • rozmery vonkajšej jednotky: 60 x 96 x 26 (50) mm 
 • umiestnenie: možnosť zavesiť alebo položiť na stôl</t>
        </is>
      </c>
    </row>
    <row r="576">
      <c r="A576" s="6" t="inlineStr">
        <is>
          <t xml:space="preserve">   Bytové doplnky / Hodiny</t>
        </is>
      </c>
      <c r="B576" s="6" t="inlineStr">
        <is>
          <t/>
        </is>
      </c>
      <c r="C576" s="6" t="inlineStr">
        <is>
          <t/>
        </is>
      </c>
      <c r="D576" s="6" t="inlineStr">
        <is>
          <t/>
        </is>
      </c>
      <c r="E576" s="6" t="inlineStr">
        <is>
          <t/>
        </is>
      </c>
      <c r="F576" s="6" t="inlineStr">
        <is>
          <t/>
        </is>
      </c>
      <c r="G576" s="6" t="inlineStr">
        <is>
          <t/>
        </is>
      </c>
    </row>
    <row r="577">
      <c r="A577" s="3" t="inlineStr">
        <is>
          <t>OC 07</t>
        </is>
      </c>
      <c r="B577" s="2" t="inlineStr">
        <is>
          <t>Digitálny LED budík, biele drevo</t>
        </is>
      </c>
      <c r="C577" s="1" t="n">
        <v>32.79</v>
      </c>
      <c r="D577" s="7" t="n">
        <f>HYPERLINK("https://www.somogyi.sk/product/digitalny-led-budik-biele-drevo-oc-07-17036","https://www.somogyi.sk/product/digitalny-led-budik-biele-drevo-oc-07-17036")</f>
        <v>0.0</v>
      </c>
      <c r="E577" s="7" t="n">
        <f>HYPERLINK("https://www.somogyi.sk/data/img/product_main_images/small/17036.jpg","https://www.somogyi.sk/data/img/product_main_images/small/17036.jpg")</f>
        <v>0.0</v>
      </c>
      <c r="F577" s="2" t="inlineStr">
        <is>
          <t>5999084950682</t>
        </is>
      </c>
      <c r="G577" s="4" t="inlineStr">
        <is>
          <t xml:space="preserve"> • materiál: drevo 
 • zobrazenie času 12/24 h: áno 
 • budenie: áno 
 • časová pamäť: áno (CR 2032 je príslušenstvom) 
 • zobrazenie vnútornej teploty: 0…50 °C 
 • rozmer displeja: 120 x 22 mm 
 • rozmery: 150 x 80 x 90 mm 
 • hmotnosť: 230 g</t>
        </is>
      </c>
    </row>
    <row r="578">
      <c r="A578" s="3" t="inlineStr">
        <is>
          <t>LTC 02</t>
        </is>
      </c>
      <c r="B578" s="2" t="inlineStr">
        <is>
          <t>Digitálny budík</t>
        </is>
      </c>
      <c r="C578" s="1" t="n">
        <v>29.09</v>
      </c>
      <c r="D578" s="7" t="n">
        <f>HYPERLINK("https://www.somogyi.sk/product/digitalny-budik-ltc-02-9623","https://www.somogyi.sk/product/digitalny-budik-ltc-02-9623")</f>
        <v>0.0</v>
      </c>
      <c r="E578" s="7" t="n">
        <f>HYPERLINK("https://www.somogyi.sk/data/img/product_main_images/small/09623.jpg","https://www.somogyi.sk/data/img/product_main_images/small/09623.jpg")</f>
        <v>0.0</v>
      </c>
      <c r="F578" s="2" t="inlineStr">
        <is>
          <t>5998312783696</t>
        </is>
      </c>
      <c r="G578" s="4" t="inlineStr">
        <is>
          <t xml:space="preserve"> • materiál: plast 
 • rádio: - 
 • možnosť zavesenia na stenu: nie 
 • možnosť umiestnenia na stôl: nie 
 • hodiny riadené rádiovým signálom DCF77: nie 
 • časové pásmo: nie 
 • zobrazenie času 12/24 h: 24 h 
 • budenie: pípanie (oneskorené budenie) 
 • časová pamäť: s batériou (6LR61)  (nie je príslušenstvo) 
 • príslušenstvo vonkajšia jednotka: nie 
 • zobrazenie vnútornej teploty: nie 
 • vlhkosť vzduchu: nie 
 • funkcia projektor: nie 
 • rozmer displeja: LED  1,8" 
 • rozmery: 210 x 85 x 85 mm 
 • napájanie: 230 V~  / 50 Hz</t>
        </is>
      </c>
    </row>
    <row r="579">
      <c r="A579" s="3" t="inlineStr">
        <is>
          <t>BH-130</t>
        </is>
      </c>
      <c r="B579" s="2" t="inlineStr">
        <is>
          <t>Nástenné hodiny, čierny rám, biely ciferník, 25 cm (BH130)</t>
        </is>
      </c>
      <c r="C579" s="1" t="n">
        <v>9.49</v>
      </c>
      <c r="D579" s="7" t="n">
        <f>HYPERLINK("https://www.somogyi.sk/product/nastenne-hodiny-cierny-ram-biely-cifernik-25-cm-bh130-bh-130-13459","https://www.somogyi.sk/product/nastenne-hodiny-cierny-ram-biely-cifernik-25-cm-bh130-bh-130-13459")</f>
        <v>0.0</v>
      </c>
      <c r="E579" s="7" t="n">
        <f>HYPERLINK("https://www.somogyi.sk/data/img/product_main_images/small/13459.jpg","https://www.somogyi.sk/data/img/product_main_images/small/13459.jpg")</f>
        <v>0.0</v>
      </c>
      <c r="F579" s="2" t="inlineStr">
        <is>
          <t>5999007175192</t>
        </is>
      </c>
      <c r="G579" s="4" t="inlineStr">
        <is>
          <t xml:space="preserve"> • materiál: plast 
 • možnosť zavesenia na stenu: áno 
 • rozmery: Ø25 cm 
 • napájanie: 1 x AAA batéria (nie je príslušenstvom)</t>
        </is>
      </c>
    </row>
    <row r="580">
      <c r="A580" s="3" t="inlineStr">
        <is>
          <t>LTC 04</t>
        </is>
      </c>
      <c r="B580" s="2" t="inlineStr">
        <is>
          <t>Digitálny, 3D LED budík</t>
        </is>
      </c>
      <c r="C580" s="1" t="n">
        <v>27.79</v>
      </c>
      <c r="D580" s="7" t="n">
        <f>HYPERLINK("https://www.somogyi.sk/product/digitalny-3d-led-budik-ltc-04-15917","https://www.somogyi.sk/product/digitalny-3d-led-budik-ltc-04-15917")</f>
        <v>0.0</v>
      </c>
      <c r="E580" s="7" t="n">
        <f>HYPERLINK("https://www.somogyi.sk/data/img/product_main_images/small/15917.jpg","https://www.somogyi.sk/data/img/product_main_images/small/15917.jpg")</f>
        <v>0.0</v>
      </c>
      <c r="F580" s="2" t="inlineStr">
        <is>
          <t>5999084939519</t>
        </is>
      </c>
      <c r="G580" s="4" t="inlineStr">
        <is>
          <t xml:space="preserve"> • materiál: plast 
 • možnosť zavesenia na stenu: áno 
 • možnosť umiestnenia na stôl: áno 
 • zobrazenie času 12/24 h: áno 
 • budenie: alarm s 2-minútovým bip-bip zvukom, 5-60 minútové programovateľné opakovanie alarmu 
 • časová pamäť: pamäť v prípade výpadku napájania, CR2032 (3 V) gombíková batéria (je príslušenstvom) 
 • rozmer displeja: 3,14” / 80 mm vysoký biely 3D LED displej 
 • ostatné funkcie: vynikajúca viditeľnosť vo dne aj v noci / čitateľný na vzdialenosť 30 metrov / úspora energie, nočný režim / nastaviteľný jas 
 • rozmery: 235 x 100 x 25 mm 
 • hmotnosť: 180 g</t>
        </is>
      </c>
    </row>
    <row r="581">
      <c r="A581" s="3" t="inlineStr">
        <is>
          <t>OC 04</t>
        </is>
      </c>
      <c r="B581" s="2" t="inlineStr">
        <is>
          <t>Digitálny budík s LED displejom, čierna</t>
        </is>
      </c>
      <c r="C581" s="1" t="n">
        <v>30.99</v>
      </c>
      <c r="D581" s="7" t="n">
        <f>HYPERLINK("https://www.somogyi.sk/product/digitalny-budik-s-led-displejom-cierna-oc-04-15737","https://www.somogyi.sk/product/digitalny-budik-s-led-displejom-cierna-oc-04-15737")</f>
        <v>0.0</v>
      </c>
      <c r="E581" s="7" t="n">
        <f>HYPERLINK("https://www.somogyi.sk/data/img/product_main_images/small/15737.jpg","https://www.somogyi.sk/data/img/product_main_images/small/15737.jpg")</f>
        <v>0.0</v>
      </c>
      <c r="F581" s="2" t="inlineStr">
        <is>
          <t>5999084937713</t>
        </is>
      </c>
      <c r="G581" s="4" t="inlineStr">
        <is>
          <t xml:space="preserve"> • materiál: drevo 
 • zobrazenie času 12/24 h: áno 
 • budenie: áno 
 • časová pamäť: áno (CR 2032, je príslušenstvom) 
 • zobrazenie vnútornej teploty: áno 
 • ostatné funkcie: individuálne nastavenie zobrazenia / možnosť vypnúť displej, ktorý môžete aktivovať tlesknutím alebo klopaním vedľa budíka 
 • rozmery: 150 x 70 x 55 mm 
 • napájanie: sieťový adaptér (je príslušenstvom) / 3 x AAA batéria (nie je príslušenstvom) 
 • hmotnosť: 195 g</t>
        </is>
      </c>
    </row>
    <row r="582">
      <c r="A582" s="3" t="inlineStr">
        <is>
          <t>LTCP 01</t>
        </is>
      </c>
      <c r="B582" s="2" t="inlineStr">
        <is>
          <t>Digitálny LED budík s projektorom</t>
        </is>
      </c>
      <c r="C582" s="1" t="n">
        <v>35.79</v>
      </c>
      <c r="D582" s="7" t="n">
        <f>HYPERLINK("https://www.somogyi.sk/product/digitalny-led-budik-s-projektorom-ltcp-01-15898","https://www.somogyi.sk/product/digitalny-led-budik-s-projektorom-ltcp-01-15898")</f>
        <v>0.0</v>
      </c>
      <c r="E582" s="7" t="n">
        <f>HYPERLINK("https://www.somogyi.sk/data/img/product_main_images/small/15898.jpg","https://www.somogyi.sk/data/img/product_main_images/small/15898.jpg")</f>
        <v>0.0</v>
      </c>
      <c r="F582" s="2" t="inlineStr">
        <is>
          <t>5999084939328</t>
        </is>
      </c>
      <c r="G582" s="4" t="inlineStr">
        <is>
          <t xml:space="preserve"> • materiál: plast 
 • možnosť umiestnenia na stôl: áno 
 • zobrazenie času 12/24 h: 24 h 
 • časová pamäť: pamäť pre hodiny v prípade výpadku elektriny s 2 x 1,5 V (AAA)  batériou, nie je príslušenstvom 
 • rozmer displeja: 1,8” / 46 mm výška zobrazenia času / červený JUMBO LED displej 
 • ostatné funkcie: prehľadné, užívateľsky prívetivé ovládanie / 2 časy budíka v rámci jedného dňa / LED indikácia aktivovaného budíka / funkcia opakovania budíka po 8 minútach / prevod letného/zimného času jedným tlačidlom 
 • rozmery: 202 x 90 x 52 mm 
 • napájanie: 230 V~ / 50 Hz 
 • hmotnosť: 370 g</t>
        </is>
      </c>
    </row>
    <row r="583">
      <c r="A583" s="3" t="inlineStr">
        <is>
          <t>LTC 03</t>
        </is>
      </c>
      <c r="B583" s="2" t="inlineStr">
        <is>
          <t>Digitálny LED budík</t>
        </is>
      </c>
      <c r="C583" s="1" t="n">
        <v>24.99</v>
      </c>
      <c r="D583" s="7" t="n">
        <f>HYPERLINK("https://www.somogyi.sk/product/digitalny-led-budik-ltc-03-15897","https://www.somogyi.sk/product/digitalny-led-budik-ltc-03-15897")</f>
        <v>0.0</v>
      </c>
      <c r="E583" s="7" t="n">
        <f>HYPERLINK("https://www.somogyi.sk/data/img/product_main_images/small/15897.jpg","https://www.somogyi.sk/data/img/product_main_images/small/15897.jpg")</f>
        <v>0.0</v>
      </c>
      <c r="F583" s="2" t="inlineStr">
        <is>
          <t>5999084939311</t>
        </is>
      </c>
      <c r="G583" s="4" t="inlineStr">
        <is>
          <t xml:space="preserve"> • materiál: plast 
 • možnosť umiestnenia na stôl: áno 
 • zobrazenie času 12/24 h: 24 h 
 • časová pamäť: pamäť pre hodiny v prípade výpadku elektriny s 9 V (6LR61) batériou, nie je príslušenstvom 
 • rozmer displeja: 0,6” / 15 mm výška zobrazenia hodín / jantárovo žltý LED displej 
 • ostatné funkcie: LED kontrolka aktívneho budenia 
 • rozmery: 115 x 45 x 95 mm 
 • napájanie: 230 V~ / 50 Hz 
 • hmotnosť: 240 g</t>
        </is>
      </c>
    </row>
    <row r="584">
      <c r="A584" s="3" t="inlineStr">
        <is>
          <t>LTCR 02</t>
        </is>
      </c>
      <c r="B584" s="2" t="inlineStr">
        <is>
          <t>Digitálny LED budík s rádiom</t>
        </is>
      </c>
      <c r="C584" s="1" t="n">
        <v>31.99</v>
      </c>
      <c r="D584" s="7" t="n">
        <f>HYPERLINK("https://www.somogyi.sk/product/digitalny-led-budik-s-radiom-ltcr-02-15899","https://www.somogyi.sk/product/digitalny-led-budik-s-radiom-ltcr-02-15899")</f>
        <v>0.0</v>
      </c>
      <c r="E584" s="7" t="n">
        <f>HYPERLINK("https://www.somogyi.sk/data/img/product_main_images/small/15899.jpg","https://www.somogyi.sk/data/img/product_main_images/small/15899.jpg")</f>
        <v>0.0</v>
      </c>
      <c r="F584" s="2" t="inlineStr">
        <is>
          <t>5999084939335</t>
        </is>
      </c>
      <c r="G584" s="4" t="inlineStr">
        <is>
          <t xml:space="preserve"> • materiál: plast 
 • rádio: pamäť pre 10 FM rozhlasových staníc 
 • možnosť umiestnenia na stôl: áno 
 •  
 • časová pamäť: pamäť pre hodiny v prípade výpadku elektriny s 2 x 1,5 V (AAA) batériou, nie je príslušenstvom 
 • rozmer displeja: 1,2” / 30 mm výška zobrazenia hodín / jantárovo žltý veľký LED displej 
 • rozmery: 170 x 60 x 120 mm 
 • napájanie: 230 V~ / 50 Hz 
 • hmotnosť: 340 g</t>
        </is>
      </c>
    </row>
    <row r="585">
      <c r="A585" s="3" t="inlineStr">
        <is>
          <t>BH-90</t>
        </is>
      </c>
      <c r="B585" s="2" t="inlineStr">
        <is>
          <t>Btech nástenné hodiny, 20 cm</t>
        </is>
      </c>
      <c r="C585" s="1" t="n">
        <v>8.29</v>
      </c>
      <c r="D585" s="7" t="n">
        <f>HYPERLINK("https://www.somogyi.sk/product/btech-nastenne-hodiny-20-cm-bh-90-16114","https://www.somogyi.sk/product/btech-nastenne-hodiny-20-cm-bh-90-16114")</f>
        <v>0.0</v>
      </c>
      <c r="E585" s="7" t="n">
        <f>HYPERLINK("https://www.somogyi.sk/data/img/product_main_images/small/16114.jpg","https://www.somogyi.sk/data/img/product_main_images/small/16114.jpg")</f>
        <v>0.0</v>
      </c>
      <c r="F585" s="2" t="inlineStr">
        <is>
          <t>5999007175161</t>
        </is>
      </c>
      <c r="G585" s="4" t="inlineStr">
        <is>
          <t xml:space="preserve"> • materiál: plast 
 • farba: biely ciferník, biely rám 
 • charakteristiky: tichý chod 
 • možnosť zavesenia na stenu: áno 
 • rozmery: Ø20 cm 
 • napájanie: 1 x 1,5 V AA batéria (nie je príslušenstvom)</t>
        </is>
      </c>
    </row>
    <row r="586">
      <c r="A586" s="3" t="inlineStr">
        <is>
          <t>OC 05</t>
        </is>
      </c>
      <c r="B586" s="2" t="inlineStr">
        <is>
          <t>Digitálny budík s LED displejom, hnedá</t>
        </is>
      </c>
      <c r="C586" s="1" t="n">
        <v>32.49</v>
      </c>
      <c r="D586" s="7" t="n">
        <f>HYPERLINK("https://www.somogyi.sk/product/digitalny-budik-s-led-displejom-hneda-oc-05-15738","https://www.somogyi.sk/product/digitalny-budik-s-led-displejom-hneda-oc-05-15738")</f>
        <v>0.0</v>
      </c>
      <c r="E586" s="7" t="n">
        <f>HYPERLINK("https://www.somogyi.sk/data/img/product_main_images/small/15738.jpg","https://www.somogyi.sk/data/img/product_main_images/small/15738.jpg")</f>
        <v>0.0</v>
      </c>
      <c r="F586" s="2" t="inlineStr">
        <is>
          <t>5999084937720</t>
        </is>
      </c>
      <c r="G586" s="4" t="inlineStr">
        <is>
          <t xml:space="preserve"> • materiál: drevo 
 • zobrazenie času 12/24 h: áno 
 • budenie: áno 
 • časová pamäť: áno (CR 2032, je príslušenstvom) 
 • zobrazenie vnútornej teploty: áno 
 • ostatné funkcie: individuálne nastavenie zobrazenia / možnosť vypnúť displej, ktorý môžete aktivovať tlesknutím alebo klopaním vedľa budíka 
 • rozmery: 150 x 80 x 90 mm 
 • napájanie: sieťový adaptér (je príslušenstvom) / 3 x AAA batéria (nie je príslušenstvom) 
 • hmotnosť: 230 g</t>
        </is>
      </c>
    </row>
    <row r="587">
      <c r="A587" s="3" t="inlineStr">
        <is>
          <t>BH-110</t>
        </is>
      </c>
      <c r="B587" s="2" t="inlineStr">
        <is>
          <t>Btech nástenné hodiny, 32 cm, čierny ciferník</t>
        </is>
      </c>
      <c r="C587" s="1" t="n">
        <v>10.99</v>
      </c>
      <c r="D587" s="7" t="n">
        <f>HYPERLINK("https://www.somogyi.sk/product/btech-nastenne-hodiny-32-cm-cierny-cifernik-bh-110-16751","https://www.somogyi.sk/product/btech-nastenne-hodiny-32-cm-cierny-cifernik-bh-110-16751")</f>
        <v>0.0</v>
      </c>
      <c r="E587" s="7" t="n">
        <f>HYPERLINK("https://www.somogyi.sk/data/img/product_main_images/small/16751.jpg","https://www.somogyi.sk/data/img/product_main_images/small/16751.jpg")</f>
        <v>0.0</v>
      </c>
      <c r="F587" s="2" t="inlineStr">
        <is>
          <t>5999007175185</t>
        </is>
      </c>
      <c r="G587" s="4" t="inlineStr">
        <is>
          <t xml:space="preserve"> • materiál: plast 
 • možnosť zavesenia na stenu: áno 
 • rozmery: Ø32 cm 
 • napájanie: 1 x AAA batéria (nie je príslušenstvom)</t>
        </is>
      </c>
    </row>
    <row r="588">
      <c r="A588" s="3" t="inlineStr">
        <is>
          <t>BH-100</t>
        </is>
      </c>
      <c r="B588" s="2" t="inlineStr">
        <is>
          <t>Btech nástenné hodiny, 33 cm</t>
        </is>
      </c>
      <c r="C588" s="1" t="n">
        <v>10.99</v>
      </c>
      <c r="D588" s="7" t="n">
        <f>HYPERLINK("https://www.somogyi.sk/product/btech-nastenne-hodiny-33-cm-bh-100-17890","https://www.somogyi.sk/product/btech-nastenne-hodiny-33-cm-bh-100-17890")</f>
        <v>0.0</v>
      </c>
      <c r="E588" s="7" t="n">
        <f>HYPERLINK("https://www.somogyi.sk/data/img/product_main_images/small/17890.jpg","https://www.somogyi.sk/data/img/product_main_images/small/17890.jpg")</f>
        <v>0.0</v>
      </c>
      <c r="F588" s="2" t="inlineStr">
        <is>
          <t>5999007175178</t>
        </is>
      </c>
      <c r="G588" s="4" t="inlineStr">
        <is>
          <t xml:space="preserve"> • materiál: plast 
 • farba: biely ciferník, čierny rám 
 • charakteristiky: tichý chod 
 • možnosť zavesenia na stenu: áno 
 • rozmery: Ø33 cm 
 • napájanie: 1 x 1,5 V AA batéria (nie je príslušenstvom)</t>
        </is>
      </c>
    </row>
    <row r="589">
      <c r="A589" s="3" t="inlineStr">
        <is>
          <t>LTC 05</t>
        </is>
      </c>
      <c r="B589" s="2" t="inlineStr">
        <is>
          <t>Digitálny LED budík, 3D, biela</t>
        </is>
      </c>
      <c r="C589" s="1" t="n">
        <v>38.99</v>
      </c>
      <c r="D589" s="7" t="n">
        <f>HYPERLINK("https://www.somogyi.sk/product/digitalny-led-budik-3d-biela-ltc-05-17285","https://www.somogyi.sk/product/digitalny-led-budik-3d-biela-ltc-05-17285")</f>
        <v>0.0</v>
      </c>
      <c r="E589" s="7" t="n">
        <f>HYPERLINK("https://www.somogyi.sk/data/img/product_main_images/small/17285.jpg","https://www.somogyi.sk/data/img/product_main_images/small/17285.jpg")</f>
        <v>0.0</v>
      </c>
      <c r="F589" s="2" t="inlineStr">
        <is>
          <t>5999084953072</t>
        </is>
      </c>
      <c r="G589" s="4" t="inlineStr">
        <is>
          <t xml:space="preserve"> • materiál: plast 
 • možnosť umiestnenia na stôl: áno 
 • zobrazenie času 12/24 h: áno 
 • budenie: áno 
 • časová pamäť: pamäť pre hodiny v prípade výpadku elektriny s CR2032 (3V) C gombíková batéria, je príslušenstvom 
 • zobrazenie vnútornej teploty: áno 
 • ostatné funkcie: možno čítať zo vzdialenosti 50 metrov • jas, ktorý sa automaticky prispôsobuje svetelným podmienkam • displej, ktorý je možné vypnúť diaľkovým ovládačom, napr. v noci • dva časy budenia súčasne • stopky a odpočítavanie • všetky funkcie možno ovládať na diaľku 
 • rozmery: 375 x 128 x 23 mm 
 • napájanie: budík: 230 V~ / 50 Hz,  diaľkový ovládač: CR2032 (3V) gombíková batéria, je príslušenstvom</t>
        </is>
      </c>
    </row>
    <row r="590">
      <c r="A590" s="3" t="inlineStr">
        <is>
          <t>BH-80</t>
        </is>
      </c>
      <c r="B590" s="2" t="inlineStr">
        <is>
          <t>Btech nástenné hodiny, 20 cm, čierny rám, biely ciferník</t>
        </is>
      </c>
      <c r="C590" s="1" t="n">
        <v>8.29</v>
      </c>
      <c r="D590" s="7" t="n">
        <f>HYPERLINK("https://www.somogyi.sk/product/btech-nastenne-hodiny-20-cm-cierny-ram-biely-cifernik-bh-80-18183","https://www.somogyi.sk/product/btech-nastenne-hodiny-20-cm-cierny-ram-biely-cifernik-bh-80-18183")</f>
        <v>0.0</v>
      </c>
      <c r="E590" s="7" t="n">
        <f>HYPERLINK("https://www.somogyi.sk/data/img/product_main_images/small/18183.jpg","https://www.somogyi.sk/data/img/product_main_images/small/18183.jpg")</f>
        <v>0.0</v>
      </c>
      <c r="F590" s="2" t="inlineStr">
        <is>
          <t>5999007175130</t>
        </is>
      </c>
      <c r="G590" s="4" t="inlineStr">
        <is>
          <t xml:space="preserve"> • materiál: plast 
 • farba: biely ciferník, čierny rám 
 • charakteristiky: tichý chod 
 • možnosť zavesenia na stenu: áno 
 • rozmery: Ø20 cm 
 • napájanie: 1 x 1,5 V AA batéria (nie je príslušenstvom)</t>
        </is>
      </c>
    </row>
    <row r="591">
      <c r="A591" s="6" t="inlineStr">
        <is>
          <t xml:space="preserve">   Bytové doplnky / DVB-T prijímač, DVB-C prijímač</t>
        </is>
      </c>
      <c r="B591" s="6" t="inlineStr">
        <is>
          <t/>
        </is>
      </c>
      <c r="C591" s="6" t="inlineStr">
        <is>
          <t/>
        </is>
      </c>
      <c r="D591" s="6" t="inlineStr">
        <is>
          <t/>
        </is>
      </c>
      <c r="E591" s="6" t="inlineStr">
        <is>
          <t/>
        </is>
      </c>
      <c r="F591" s="6" t="inlineStr">
        <is>
          <t/>
        </is>
      </c>
      <c r="G591" s="6" t="inlineStr">
        <is>
          <t/>
        </is>
      </c>
    </row>
    <row r="592">
      <c r="A592" s="3" t="inlineStr">
        <is>
          <t>HD T2</t>
        </is>
      </c>
      <c r="B592" s="2" t="inlineStr">
        <is>
          <t>DVB-T/T2 prijímač</t>
        </is>
      </c>
      <c r="C592" s="1" t="n">
        <v>31.89</v>
      </c>
      <c r="D592" s="7" t="n">
        <f>HYPERLINK("https://www.somogyi.sk/product/dvb-t-t2-prijimac-hd-t2-16945","https://www.somogyi.sk/product/dvb-t-t2-prijimac-hd-t2-16945")</f>
        <v>0.0</v>
      </c>
      <c r="E592" s="7" t="n">
        <f>HYPERLINK("https://www.somogyi.sk/data/img/product_main_images/small/16945.jpg","https://www.somogyi.sk/data/img/product_main_images/small/16945.jpg")</f>
        <v>0.0</v>
      </c>
      <c r="F592" s="2" t="inlineStr">
        <is>
          <t>5999084949778</t>
        </is>
      </c>
      <c r="G592" s="4" t="inlineStr">
        <is>
          <t xml:space="preserve"> • príjem pozemných, voľne dostupných digitálnych TV staníc: áno 
 • podporované rozlíšenia: 480p_60, 480i_30, 576p_50, 576i_25, 720p_60, 720p_50, 1080i_30, 1080i_25, 1080p_60, 1080p_50 
 •  
 • oneskorené sledovanie programu: áno 
 • EPG program: áno 
 • TXT: áno 
 • rodičovská kontrola, detská zámka: áno 
 • nastaviteľný čas vypnutia: automatický pohotovostný režim v prípade nečinnosti (1-2-3 hodiny, alebo možno vypnúť) 
 • jazyk menu: menu v maďarskom, slovenskom, rumunskom a anglickom jazyku 
 • formát obrazu: 4:3, 16:9 
 • prípojky: HDMI, SCART, koaxiálny digitálny zvuk, RF za-/vypnúť 
 • napájanie: 100-240V~, 50/60 Hz_12V=/1A 
 • rozmery: 130 x 88 x 27 mm</t>
        </is>
      </c>
    </row>
    <row r="593">
      <c r="A593" s="3" t="inlineStr">
        <is>
          <t>HD2T2</t>
        </is>
      </c>
      <c r="B593" s="2" t="inlineStr">
        <is>
          <t>DVB-T/T2 prijímač</t>
        </is>
      </c>
      <c r="C593" s="1" t="n">
        <v>28.99</v>
      </c>
      <c r="D593" s="7" t="n">
        <f>HYPERLINK("https://www.somogyi.sk/product/dvb-t-t2-prijimac-hd2t2-18336","https://www.somogyi.sk/product/dvb-t-t2-prijimac-hd2t2-18336")</f>
        <v>0.0</v>
      </c>
      <c r="E593" s="7" t="n">
        <f>HYPERLINK("https://www.somogyi.sk/data/img/product_main_images/small/18336.jpg","https://www.somogyi.sk/data/img/product_main_images/small/18336.jpg")</f>
        <v>0.0</v>
      </c>
      <c r="F593" s="2" t="inlineStr">
        <is>
          <t>5999084963545</t>
        </is>
      </c>
      <c r="G593" s="4" t="inlineStr">
        <is>
          <t xml:space="preserve"> • príjem pozemných, voľne dostupných digitálnych TV staníc: áno 
 • podporované rozlíšenia: automatický, 480i, 480p, 720p, 1080i, 1080p 
 • N/A: max.500GB HDD resp.SSD pevný disk / max. 32GB pendrive 
 • oneskorené sledovanie programu: áno 
 • EPG program: áno 
 • N/A: áno 
 • TXT: áno 
 • rodičovská kontrola, detská zámka: áno 
 • nastaviteľný čas vypnutia: automatický pohotovostný režim v prípade nečinnosti (1-6 hodín, možno vypnúť) 
 • jazyk menu: EN, HU, SK, RO, D, CZ 
 • formát obrazu: 4:3, 16:9 
 • prípojky: HDMI, SCART, SPDIF(coaxial), RF 
 • napájanie: sieťový adaptér (je príslušenstvom) 
 • rozmery: 133 x 31 x 78 mm</t>
        </is>
      </c>
    </row>
    <row r="594">
      <c r="A594" s="6" t="inlineStr">
        <is>
          <t xml:space="preserve">   Bytové doplnky / Anténa, zosilňovač k anténe</t>
        </is>
      </c>
      <c r="B594" s="6" t="inlineStr">
        <is>
          <t/>
        </is>
      </c>
      <c r="C594" s="6" t="inlineStr">
        <is>
          <t/>
        </is>
      </c>
      <c r="D594" s="6" t="inlineStr">
        <is>
          <t/>
        </is>
      </c>
      <c r="E594" s="6" t="inlineStr">
        <is>
          <t/>
        </is>
      </c>
      <c r="F594" s="6" t="inlineStr">
        <is>
          <t/>
        </is>
      </c>
      <c r="G594" s="6" t="inlineStr">
        <is>
          <t/>
        </is>
      </c>
    </row>
    <row r="595">
      <c r="A595" s="3" t="inlineStr">
        <is>
          <t>FZ 56</t>
        </is>
      </c>
      <c r="B595" s="2" t="inlineStr">
        <is>
          <t>Vonkajšia anténa so zosilňovačom, 56dB, DVB-T/T2</t>
        </is>
      </c>
      <c r="C595" s="1" t="n">
        <v>40.49</v>
      </c>
      <c r="D595" s="7" t="n">
        <f>HYPERLINK("https://www.somogyi.sk/product/vonkajsia-antena-so-zosilnovacom-56db-dvb-t-t2-fz-56-14215","https://www.somogyi.sk/product/vonkajsia-antena-so-zosilnovacom-56db-dvb-t-t2-fz-56-14215")</f>
        <v>0.0</v>
      </c>
      <c r="E595" s="7" t="n">
        <f>HYPERLINK("https://www.somogyi.sk/data/img/product_main_images/small/14215.jpg","https://www.somogyi.sk/data/img/product_main_images/small/14215.jpg")</f>
        <v>0.0</v>
      </c>
      <c r="F595" s="2" t="inlineStr">
        <is>
          <t>5999084922634</t>
        </is>
      </c>
      <c r="G595" s="4" t="inlineStr">
        <is>
          <t xml:space="preserve"> • vonkajšia / vnútorná: vonkajšia 
 • umiestnenie: konzola / stena 
 • vhodná na príjem signálu DVB-T / T2: áno 
 • frekvenčné pásmo: 87,5 - 230 MHz / 470 - 862 MHz 
 • polarizácia: H / V 
 • zabudovaný zosilňovač: áno 
 • max. citlivosť: 56 dB 
 • výstupná prípojka / impedancia: "F" zásuvka / 75 Ω 
 • napájanie: 230 V~  / 50 Hz 
 • príslušenstvo: anténa so zosilňovačom, sieťové napájanie, nástenná konzola, objímka na uchytenie,  napájacia výhybka 
 • rozmery: 32 x 3 x 23 cm</t>
        </is>
      </c>
    </row>
    <row r="596">
      <c r="A596" s="3" t="inlineStr">
        <is>
          <t>FZ 52</t>
        </is>
      </c>
      <c r="B596" s="2" t="inlineStr">
        <is>
          <t>Izbová anténa so zosilňovačom, 52dB, DVB-T/T2</t>
        </is>
      </c>
      <c r="C596" s="1" t="n">
        <v>29.39</v>
      </c>
      <c r="D596" s="7" t="n">
        <f>HYPERLINK("https://www.somogyi.sk/product/izbova-antena-so-zosilnovacom-52db-dvb-t-t2-fz-52-14214","https://www.somogyi.sk/product/izbova-antena-so-zosilnovacom-52db-dvb-t-t2-fz-52-14214")</f>
        <v>0.0</v>
      </c>
      <c r="E596" s="7" t="n">
        <f>HYPERLINK("https://www.somogyi.sk/data/img/product_main_images/small/14214.jpg","https://www.somogyi.sk/data/img/product_main_images/small/14214.jpg")</f>
        <v>0.0</v>
      </c>
      <c r="F596" s="2" t="inlineStr">
        <is>
          <t>5999084922627</t>
        </is>
      </c>
      <c r="G596" s="4" t="inlineStr">
        <is>
          <t xml:space="preserve"> • vonkajšia / vnútorná: vnútorná 
 • umiestnenie: stôl / možnosť lepenia 
 • vhodná na príjem signálu DVB-T / T2: áno 
 • frekvenčné pásmo: 47 - 230 MHz / 470 - 862 MHz 
 • polarizácia: H / V 
 • zabudovaný zosilňovač: áno 
 • max. citlivosť: 52 dB 
 • výstupná prípojka / impedancia: koax / 75 Ω 
 • napájanie: 230 V~ / 50 Hz, cez anténovú prípojku: 5 V DC 
 • príslušenstvo: anténa so zosilňovačom, držiak na stôl, sieťové napájanie 
 • rozmery: 23 x 21 x 0,1(1) cm</t>
        </is>
      </c>
    </row>
    <row r="597">
      <c r="A597" s="3" t="inlineStr">
        <is>
          <t>FZ 53</t>
        </is>
      </c>
      <c r="B597" s="2" t="inlineStr">
        <is>
          <t>Izbová anténa so zosilňovačom, 53 dB</t>
        </is>
      </c>
      <c r="C597" s="1" t="n">
        <v>31.39</v>
      </c>
      <c r="D597" s="7" t="n">
        <f>HYPERLINK("https://www.somogyi.sk/product/izbova-antena-so-zosilnovacom-53-db-fz-53-17707","https://www.somogyi.sk/product/izbova-antena-so-zosilnovacom-53-db-fz-53-17707")</f>
        <v>0.0</v>
      </c>
      <c r="E597" s="7" t="n">
        <f>HYPERLINK("https://www.somogyi.sk/data/img/product_main_images/small/17707.jpg","https://www.somogyi.sk/data/img/product_main_images/small/17707.jpg")</f>
        <v>0.0</v>
      </c>
      <c r="F597" s="2" t="inlineStr">
        <is>
          <t>5999084957292</t>
        </is>
      </c>
      <c r="G597" s="4" t="inlineStr">
        <is>
          <t xml:space="preserve"> • vonkajšia / vnútorná: na vnútorné použitie 
 • vhodná na príjem signálu DVB-T / T2: áno 
 • frekvenčné pásmo: 87,5 - 230 MHz / 470 - 790 MHz 
 • polarizácia: H / V 
 • zabudovaný zosilňovač: áno 
 • max. citlivosť: 53 dB 
 • výstupná prípojka / impedancia: koax / 75 Ω 
 •  
 • rozmery: 300 x 100 x 30 mm</t>
        </is>
      </c>
    </row>
    <row r="598">
      <c r="A598" s="3" t="inlineStr">
        <is>
          <t>FZ54</t>
        </is>
      </c>
      <c r="B598" s="2" t="inlineStr">
        <is>
          <t>Izbová anténa so zosilňovačom, 54 dB</t>
        </is>
      </c>
      <c r="C598" s="1" t="n">
        <v>25.89</v>
      </c>
      <c r="D598" s="7" t="n">
        <f>HYPERLINK("https://www.somogyi.sk/product/izbova-antena-so-zosilnovacom-54-db-fz54-18937","https://www.somogyi.sk/product/izbova-antena-so-zosilnovacom-54-db-fz54-18937")</f>
        <v>0.0</v>
      </c>
      <c r="E598" s="7" t="n">
        <f>HYPERLINK("https://www.somogyi.sk/data/img/product_main_images/small/18937.jpg","https://www.somogyi.sk/data/img/product_main_images/small/18937.jpg")</f>
        <v>0.0</v>
      </c>
      <c r="F598" s="2" t="inlineStr">
        <is>
          <t>5999084969318</t>
        </is>
      </c>
      <c r="G598" s="4" t="inlineStr">
        <is>
          <t xml:space="preserve"> • vonkajšia / vnútorná: na vnútorné použitie 
 • umiestnenie: stôl / dá sa nalepiť 
 • vhodná na príjem signálu DVB-T / T2: áno 
 • polarizácia: H / V 
 • max. citlivosť: 54 dB 
 • výstupná prípojka / impedancia: koax / 75 Ω 
 •  
 • rozmery: 339 x 310 x 1(10) mm 
 • dĺžka kábla: anténový kábel: ~4,8 m / USB-DC kábel: ~1,5 m</t>
        </is>
      </c>
    </row>
    <row r="599">
      <c r="A599" s="6" t="inlineStr">
        <is>
          <t xml:space="preserve">   Bytové doplnky / Univerzálny diaľkový ovládač</t>
        </is>
      </c>
      <c r="B599" s="6" t="inlineStr">
        <is>
          <t/>
        </is>
      </c>
      <c r="C599" s="6" t="inlineStr">
        <is>
          <t/>
        </is>
      </c>
      <c r="D599" s="6" t="inlineStr">
        <is>
          <t/>
        </is>
      </c>
      <c r="E599" s="6" t="inlineStr">
        <is>
          <t/>
        </is>
      </c>
      <c r="F599" s="6" t="inlineStr">
        <is>
          <t/>
        </is>
      </c>
      <c r="G599" s="6" t="inlineStr">
        <is>
          <t/>
        </is>
      </c>
    </row>
    <row r="600">
      <c r="A600" s="3" t="inlineStr">
        <is>
          <t>URC GR 1</t>
        </is>
      </c>
      <c r="B600" s="2" t="inlineStr">
        <is>
          <t>GRUNDIG TV diaľkový ovládač</t>
        </is>
      </c>
      <c r="C600" s="1" t="n">
        <v>5.19</v>
      </c>
      <c r="D600" s="7" t="n">
        <f>HYPERLINK("https://www.somogyi.sk/product/grundig-tv-dialkovy-ovladac-urc-gr-1-17034","https://www.somogyi.sk/product/grundig-tv-dialkovy-ovladac-urc-gr-1-17034")</f>
        <v>0.0</v>
      </c>
      <c r="E600" s="7" t="n">
        <f>HYPERLINK("https://www.somogyi.sk/data/img/product_main_images/small/17034.jpg","https://www.somogyi.sk/data/img/product_main_images/small/17034.jpg")</f>
        <v>0.0</v>
      </c>
      <c r="F600" s="2" t="inlineStr">
        <is>
          <t>5999084950668</t>
        </is>
      </c>
      <c r="G600" s="4" t="inlineStr">
        <is>
          <t xml:space="preserve"> • náhrada koľkých diaľkových ovládačov: pre GRUNDIG TV 
 • vyhľadávanie kódu: vopred kódovaný, nevyžaduje nastavenie 
 • napájanie: 2 x 1,5V (AAA) batéria, nie je príslušenstvom</t>
        </is>
      </c>
    </row>
    <row r="601">
      <c r="A601" s="3" t="inlineStr">
        <is>
          <t>URC SAM 1</t>
        </is>
      </c>
      <c r="B601" s="2" t="inlineStr">
        <is>
          <t>Samsung smart TV diaľkový ovládač</t>
        </is>
      </c>
      <c r="C601" s="1" t="n">
        <v>8.09</v>
      </c>
      <c r="D601" s="7" t="n">
        <f>HYPERLINK("https://www.somogyi.sk/product/samsung-smart-tv-dialkovy-ovladac-urc-sam-1-15437","https://www.somogyi.sk/product/samsung-smart-tv-dialkovy-ovladac-urc-sam-1-15437")</f>
        <v>0.0</v>
      </c>
      <c r="E601" s="7" t="n">
        <f>HYPERLINK("https://www.somogyi.sk/data/img/product_main_images/small/15437.jpg","https://www.somogyi.sk/data/img/product_main_images/small/15437.jpg")</f>
        <v>0.0</v>
      </c>
      <c r="F601" s="2" t="inlineStr">
        <is>
          <t>5999084934712</t>
        </is>
      </c>
      <c r="G601" s="4" t="inlineStr">
        <is>
          <t xml:space="preserve"> • náhrada koľkých diaľkových ovládačov: 1 
 • vyhľadávanie kódu: fixné kódy (nevyžaduje nastavenie) odporúčame k Samsung smart TV 
 • napájanie: 2 x AAA batéria (nie je príslušenstvom)</t>
        </is>
      </c>
    </row>
    <row r="602">
      <c r="A602" s="3" t="inlineStr">
        <is>
          <t>URC 2000AC/SL</t>
        </is>
      </c>
      <c r="B602" s="2" t="inlineStr">
        <is>
          <t>Univerzálny diaľkový ovládač pre klimatizácie</t>
        </is>
      </c>
      <c r="C602" s="1" t="n">
        <v>21.09</v>
      </c>
      <c r="D602" s="7" t="n">
        <f>HYPERLINK("https://www.somogyi.sk/product/univerzalny-dialkovy-ovladac-pre-klimatizacie-urc-2000ac-sl-15032","https://www.somogyi.sk/product/univerzalny-dialkovy-ovladac-pre-klimatizacie-urc-2000ac-sl-15032")</f>
        <v>0.0</v>
      </c>
      <c r="E602" s="7" t="n">
        <f>HYPERLINK("https://www.somogyi.sk/data/img/product_main_images/small/15032.jpg","https://www.somogyi.sk/data/img/product_main_images/small/15032.jpg")</f>
        <v>0.0</v>
      </c>
      <c r="F602" s="2" t="inlineStr">
        <is>
          <t>5999084930660</t>
        </is>
      </c>
      <c r="G602" s="4" t="inlineStr">
        <is>
          <t xml:space="preserve"> • LCD displej: veľký LCD displej 
 • podsvietenie pozadia / tlačidiel: áno / nie 
 • vyhľadávanie kódu: manuálne / automatické 
 • ostatné funkcie: SMART sleep režim / časovač za- a vypnutiaresp. Programy 
 • držiak: nástenný 
 • napájanie: 2 x AAA batéria (nie je príslušenstvom) 
 • rozmery: 165 x 55 x 20 mm 
 • kompatibilita: 2000 kódov pre viac ako 10000 typom</t>
        </is>
      </c>
    </row>
    <row r="603">
      <c r="A603" s="3" t="inlineStr">
        <is>
          <t>URCSAM3</t>
        </is>
      </c>
      <c r="B603" s="2" t="inlineStr">
        <is>
          <t>Diaľkový ovládač Samsung TV</t>
        </is>
      </c>
      <c r="C603" s="1" t="n">
        <v>8.09</v>
      </c>
      <c r="D603" s="7" t="n">
        <f>HYPERLINK("https://www.somogyi.sk/product/dialkovy-ovladac-samsung-tv-urcsam3-18438","https://www.somogyi.sk/product/dialkovy-ovladac-samsung-tv-urcsam3-18438")</f>
        <v>0.0</v>
      </c>
      <c r="E603" s="7" t="n">
        <f>HYPERLINK("https://www.somogyi.sk/data/img/product_main_images/small/18438.jpg","https://www.somogyi.sk/data/img/product_main_images/small/18438.jpg")</f>
        <v>0.0</v>
      </c>
      <c r="F603" s="2" t="inlineStr">
        <is>
          <t>5999084964566</t>
        </is>
      </c>
      <c r="G603" s="4" t="inlineStr">
        <is>
          <t xml:space="preserve"> • náhrada koľkých diaľkových ovládačov: 1 
 • napájanie: 2 x 1,5 V (AAA) batéria, nie je príslušenstvom</t>
        </is>
      </c>
    </row>
    <row r="604">
      <c r="A604" s="3" t="inlineStr">
        <is>
          <t>URCAIR2</t>
        </is>
      </c>
      <c r="B604" s="2" t="inlineStr">
        <is>
          <t>Univerzálny diaľkový ovládač, rádiový</t>
        </is>
      </c>
      <c r="C604" s="1" t="n">
        <v>13.89</v>
      </c>
      <c r="D604" s="7" t="n">
        <f>HYPERLINK("https://www.somogyi.sk/product/univerzalny-dialkovy-ovladac-radiovy-urcair2-18717","https://www.somogyi.sk/product/univerzalny-dialkovy-ovladac-radiovy-urcair2-18717")</f>
        <v>0.0</v>
      </c>
      <c r="E604" s="7" t="n">
        <f>HYPERLINK("https://www.somogyi.sk/data/img/product_main_images/small/18717.jpg","https://www.somogyi.sk/data/img/product_main_images/small/18717.jpg")</f>
        <v>0.0</v>
      </c>
      <c r="F604" s="2" t="inlineStr">
        <is>
          <t>5999084967352</t>
        </is>
      </c>
      <c r="G604" s="4" t="inlineStr">
        <is>
          <t xml:space="preserve"> • bezdrôtová myš, klávesnica, herný ovládač 
 • manuálna myš (◄ ►▲▼) a 3D AirMouse 
 • nastaviteľná rýchlosť ukazovateľa myši 
 • príklady aplikácií: smart TV, TV box, prehrávač médií, herná konzola, projektor, počítač, notebook, mini PC, tablet, smartfón… 
 • 3-osový gyroskopický snímač pohybu 
 • QWERTY anglická klávesnica (46 + 11 klávesov) 
 • 7 farebných, podsvietených tlačidiel 
 • dosah pribl. 10 m 
 • úsporný, automatický režim spánku 
 • pre prijímač je potrebná voľná zásuvka USB-A 
 • žiadna výmena batérie, má zabudovaný akumulátor 
 • signalizuje potrebu nabíjania 
 • doba nabíjania / prevádzky / pohotovostného režimu: ~4 h / ~6 h / ~6 mesiacov 
 • príslušenstvo: USB prijímač, microUSB nabíjací kábel 
 • odporúčané nabíjačky: SA 24USB, SA 50USB 
 • rozmery: 46 x 152 x 15 mm / 55 g</t>
        </is>
      </c>
    </row>
    <row r="605">
      <c r="A605" s="3" t="inlineStr">
        <is>
          <t>URC ALL</t>
        </is>
      </c>
      <c r="B605" s="2" t="inlineStr">
        <is>
          <t>9in1 univerzálny diaľkový ovládač TV</t>
        </is>
      </c>
      <c r="C605" s="1" t="n">
        <v>8.89</v>
      </c>
      <c r="D605" s="7" t="n">
        <f>HYPERLINK("https://www.somogyi.sk/product/9in1-univerzalny-dialkovy-ovladac-tv-urc-all-16917","https://www.somogyi.sk/product/9in1-univerzalny-dialkovy-ovladac-tv-urc-all-16917")</f>
        <v>0.0</v>
      </c>
      <c r="E605" s="7" t="n">
        <f>HYPERLINK("https://www.somogyi.sk/data/img/product_main_images/small/16917.jpg","https://www.somogyi.sk/data/img/product_main_images/small/16917.jpg")</f>
        <v>0.0</v>
      </c>
      <c r="F605" s="2" t="inlineStr">
        <is>
          <t>5999084949495</t>
        </is>
      </c>
      <c r="G605" s="4" t="inlineStr">
        <is>
          <t xml:space="preserve"> • náhrada koľkých diaľkových ovládačov: pre 9 značiek (Samsung, LG, Sony, Panasonic, Toshiba, Philips, Hisense, Sharp, Grundig) 
 •  
 • napájanie: 2 x 1,5V (AAA) batéria, nie je príslušenstvom</t>
        </is>
      </c>
    </row>
    <row r="606">
      <c r="A606" s="3" t="inlineStr">
        <is>
          <t>URC SON</t>
        </is>
      </c>
      <c r="B606" s="2" t="inlineStr">
        <is>
          <t>Sony smart TV diaľkový ovládač</t>
        </is>
      </c>
      <c r="C606" s="1" t="n">
        <v>8.09</v>
      </c>
      <c r="D606" s="7" t="n">
        <f>HYPERLINK("https://www.somogyi.sk/product/sony-smart-tv-dialkovy-ovladac-urc-son-15439","https://www.somogyi.sk/product/sony-smart-tv-dialkovy-ovladac-urc-son-15439")</f>
        <v>0.0</v>
      </c>
      <c r="E606" s="7" t="n">
        <f>HYPERLINK("https://www.somogyi.sk/data/img/product_main_images/small/15439.jpg","https://www.somogyi.sk/data/img/product_main_images/small/15439.jpg")</f>
        <v>0.0</v>
      </c>
      <c r="F606" s="2" t="inlineStr">
        <is>
          <t>5999084934736</t>
        </is>
      </c>
      <c r="G606" s="4" t="inlineStr">
        <is>
          <t xml:space="preserve"> • náhrada koľkých diaľkových ovládačov: 1 
 • vyhľadávanie kódu: fixné kódy (nevyžaduje nastavenie) odporúčame k Sony TV 
 • napájanie: 2 x AAA batéria (nie je príslušenstvom)</t>
        </is>
      </c>
    </row>
    <row r="607">
      <c r="A607" s="3" t="inlineStr">
        <is>
          <t>URC PH</t>
        </is>
      </c>
      <c r="B607" s="2" t="inlineStr">
        <is>
          <t>Philips smart TV diaľkový ovládač</t>
        </is>
      </c>
      <c r="C607" s="1" t="n">
        <v>8.39</v>
      </c>
      <c r="D607" s="7" t="n">
        <f>HYPERLINK("https://www.somogyi.sk/product/philips-smart-tv-dialkovy-ovladac-urc-ph-15436","https://www.somogyi.sk/product/philips-smart-tv-dialkovy-ovladac-urc-ph-15436")</f>
        <v>0.0</v>
      </c>
      <c r="E607" s="7" t="n">
        <f>HYPERLINK("https://www.somogyi.sk/data/img/product_main_images/small/15436.jpg","https://www.somogyi.sk/data/img/product_main_images/small/15436.jpg")</f>
        <v>0.0</v>
      </c>
      <c r="F607" s="2" t="inlineStr">
        <is>
          <t>5999084934705</t>
        </is>
      </c>
      <c r="G607" s="4" t="inlineStr">
        <is>
          <t xml:space="preserve"> • náhrada koľkých diaľkových ovládačov: 1 
 • vyhľadávanie kódu: fixné kódy (nevyžaduje nastavenie) odporúčame k Philips smart TV 
 • napájanie: 1 x AAA batéria (nie je príslušenstvom)</t>
        </is>
      </c>
    </row>
    <row r="608">
      <c r="A608" s="3" t="inlineStr">
        <is>
          <t>URC PAN</t>
        </is>
      </c>
      <c r="B608" s="2" t="inlineStr">
        <is>
          <t>Panasonic smart TV diaľkový ovládač</t>
        </is>
      </c>
      <c r="C608" s="1" t="n">
        <v>8.09</v>
      </c>
      <c r="D608" s="7" t="n">
        <f>HYPERLINK("https://www.somogyi.sk/product/panasonic-smart-tv-dialkovy-ovladac-urc-pan-15435","https://www.somogyi.sk/product/panasonic-smart-tv-dialkovy-ovladac-urc-pan-15435")</f>
        <v>0.0</v>
      </c>
      <c r="E608" s="7" t="n">
        <f>HYPERLINK("https://www.somogyi.sk/data/img/product_main_images/small/15435.jpg","https://www.somogyi.sk/data/img/product_main_images/small/15435.jpg")</f>
        <v>0.0</v>
      </c>
      <c r="F608" s="2" t="inlineStr">
        <is>
          <t>5999084934699</t>
        </is>
      </c>
      <c r="G608" s="4" t="inlineStr">
        <is>
          <t xml:space="preserve"> • náhrada koľkých diaľkových ovládačov: 1 
 • vyhľadávanie kódu: fixné kódy (nevyžaduje nastavenie) odporúčame k Panasonic smart TV 
 • napájanie: 2 x AA batéria (nie je príslušenstvom)</t>
        </is>
      </c>
    </row>
    <row r="609">
      <c r="A609" s="3" t="inlineStr">
        <is>
          <t>URC SAM 2</t>
        </is>
      </c>
      <c r="B609" s="2" t="inlineStr">
        <is>
          <t>Samsung TV diaľkový ovládač</t>
        </is>
      </c>
      <c r="C609" s="1" t="n">
        <v>8.09</v>
      </c>
      <c r="D609" s="7" t="n">
        <f>HYPERLINK("https://www.somogyi.sk/product/samsung-tv-dialkovy-ovladac-urc-sam-2-15438","https://www.somogyi.sk/product/samsung-tv-dialkovy-ovladac-urc-sam-2-15438")</f>
        <v>0.0</v>
      </c>
      <c r="E609" s="7" t="n">
        <f>HYPERLINK("https://www.somogyi.sk/data/img/product_main_images/small/15438.jpg","https://www.somogyi.sk/data/img/product_main_images/small/15438.jpg")</f>
        <v>0.0</v>
      </c>
      <c r="F609" s="2" t="inlineStr">
        <is>
          <t>5999084934729</t>
        </is>
      </c>
      <c r="G609" s="4" t="inlineStr">
        <is>
          <t xml:space="preserve"> • náhrada koľkých diaľkových ovládačov: 1 
 • vyhľadávanie kódu: fixné kódy (nevyžaduje nastavenie) odporúčame k Samsung TV 
 • napájanie: 2 x AAA batéria (nie je príslušenstvom)</t>
        </is>
      </c>
    </row>
    <row r="610">
      <c r="A610" s="3" t="inlineStr">
        <is>
          <t>URC LG 2</t>
        </is>
      </c>
      <c r="B610" s="2" t="inlineStr">
        <is>
          <t>LG smart TV diaľkový ovládač</t>
        </is>
      </c>
      <c r="C610" s="1" t="n">
        <v>8.09</v>
      </c>
      <c r="D610" s="7" t="n">
        <f>HYPERLINK("https://www.somogyi.sk/product/lg-smart-tv-dialkovy-ovladac-urc-lg-2-15434","https://www.somogyi.sk/product/lg-smart-tv-dialkovy-ovladac-urc-lg-2-15434")</f>
        <v>0.0</v>
      </c>
      <c r="E610" s="7" t="n">
        <f>HYPERLINK("https://www.somogyi.sk/data/img/product_main_images/small/15434.jpg","https://www.somogyi.sk/data/img/product_main_images/small/15434.jpg")</f>
        <v>0.0</v>
      </c>
      <c r="F610" s="2" t="inlineStr">
        <is>
          <t>5999084934682</t>
        </is>
      </c>
      <c r="G610" s="4" t="inlineStr">
        <is>
          <t xml:space="preserve"> • náhrada koľkých diaľkových ovládačov: 1 
 • vyhľadávanie kódu: fixné kódy (nevyžaduje nastavenie) odporúčame k LG smart TV 
 • napájanie: 2 x AAA batéria (nie je príslušenstvom)</t>
        </is>
      </c>
    </row>
    <row r="611">
      <c r="A611" s="3" t="inlineStr">
        <is>
          <t>URC 22</t>
        </is>
      </c>
      <c r="B611" s="2" t="inlineStr">
        <is>
          <t xml:space="preserve">Univerzálny diaľkový ovládač, k 4 prístrojom </t>
        </is>
      </c>
      <c r="C611" s="1" t="n">
        <v>5.79</v>
      </c>
      <c r="D611" s="7" t="n">
        <f>HYPERLINK("https://www.somogyi.sk/product/univerzalny-dialkovy-ovladac-k-4-pristrojom-urc-22-14251","https://www.somogyi.sk/product/univerzalny-dialkovy-ovladac-k-4-pristrojom-urc-22-14251")</f>
        <v>0.0</v>
      </c>
      <c r="E611" s="7" t="n">
        <f>HYPERLINK("https://www.somogyi.sk/data/img/product_main_images/small/14251.jpg","https://www.somogyi.sk/data/img/product_main_images/small/14251.jpg")</f>
        <v>0.0</v>
      </c>
      <c r="F611" s="2" t="inlineStr">
        <is>
          <t>5999084922993</t>
        </is>
      </c>
      <c r="G611" s="4" t="inlineStr">
        <is>
          <t xml:space="preserve"> • náhrada koľkých diaľkových ovládačov: 4 
 • LCD displej: nie 
 • podsvietenie pozadia / tlačidiel: nie 
 • učiaci sa: nie 
 • vyhľadávanie kódu: manuálne / automatické 
 • držiak: nie 
 • napájanie: 2 x AA batéria (nie je príslušenstvo)</t>
        </is>
      </c>
    </row>
    <row r="612">
      <c r="A612" s="3" t="inlineStr">
        <is>
          <t>URCAIR1</t>
        </is>
      </c>
      <c r="B612" s="2" t="inlineStr">
        <is>
          <t>Univerzálny diaľkový ovládač, rádiový</t>
        </is>
      </c>
      <c r="C612" s="1" t="n">
        <v>32.79</v>
      </c>
      <c r="D612" s="7" t="n">
        <f>HYPERLINK("https://www.somogyi.sk/product/univerzalny-dialkovy-ovladac-radiovy-urcair1-18716","https://www.somogyi.sk/product/univerzalny-dialkovy-ovladac-radiovy-urcair1-18716")</f>
        <v>0.0</v>
      </c>
      <c r="E612" s="7" t="n">
        <f>HYPERLINK("https://www.somogyi.sk/data/img/product_main_images/small/18716.jpg","https://www.somogyi.sk/data/img/product_main_images/small/18716.jpg")</f>
        <v>0.0</v>
      </c>
      <c r="F612" s="2" t="inlineStr">
        <is>
          <t>5999084967345</t>
        </is>
      </c>
      <c r="G612" s="4" t="inlineStr">
        <is>
          <t xml:space="preserve"> • náhrada koľkých diaľkových ovládačov: 3v1: myš, klávesnica • infračervené diaľkové ovládanie • vzduchová myš 
 •  
 • charakteristiky: nastaviteľná rýchlosť ukazovateľa myši (4 úrovne) • 6-osový gyroskopický snímač pohybu • QWERTY anglická klávesnica (45 12 klávesov) • okamžité pripojenie k USB prijímaču (BT) • voľná zásuvka USB-A potrebná pre prijímač 
 • napájanie: zabudovaný akumulátor 
 • dosah: cca. 10 m 
 • N/A: ~4 h / ~6 h / ~6 mesiacov 
 • rozmery: 55 x 159 x 17 mm 
 • hmotnosť: 90 g 
 • opcionálne príslušenstvo: odporúčané nabíjačky: SA 24USB, SA 50USB 
 • ďalšie informácie: Plnú funkčnosť nemožno zaručiť pre všetky zariadenia s univerzálnym diaľkovým ovládačom. Pred nákupom skontrolujte popis vášho zariadenia.</t>
        </is>
      </c>
    </row>
    <row r="613">
      <c r="A613" s="3" t="inlineStr">
        <is>
          <t>URC LG 1</t>
        </is>
      </c>
      <c r="B613" s="2" t="inlineStr">
        <is>
          <t>LG TV diaľkový ovládač</t>
        </is>
      </c>
      <c r="C613" s="1" t="n">
        <v>8.09</v>
      </c>
      <c r="D613" s="7" t="n">
        <f>HYPERLINK("https://www.somogyi.sk/product/lg-tv-dialkovy-ovladac-urc-lg-1-15433","https://www.somogyi.sk/product/lg-tv-dialkovy-ovladac-urc-lg-1-15433")</f>
        <v>0.0</v>
      </c>
      <c r="E613" s="7" t="n">
        <f>HYPERLINK("https://www.somogyi.sk/data/img/product_main_images/small/15433.jpg","https://www.somogyi.sk/data/img/product_main_images/small/15433.jpg")</f>
        <v>0.0</v>
      </c>
      <c r="F613" s="2" t="inlineStr">
        <is>
          <t>5999084934675</t>
        </is>
      </c>
      <c r="G613" s="4" t="inlineStr">
        <is>
          <t xml:space="preserve"> • náhrada koľkých diaľkových ovládačov: 1 
 • vyhľadávanie kódu: fixné kódy (nevyžaduje nastavenie) odporúčame k LG TV 
 • napájanie: 2 x AAA batéria (nie je príslušenstvom)</t>
        </is>
      </c>
    </row>
    <row r="614">
      <c r="A614" s="3" t="inlineStr">
        <is>
          <t>URC JUMP</t>
        </is>
      </c>
      <c r="B614" s="2" t="inlineStr">
        <is>
          <t>Univerzálny diaľkový ovládač</t>
        </is>
      </c>
      <c r="C614" s="1" t="n">
        <v>21.99</v>
      </c>
      <c r="D614" s="7" t="n">
        <f>HYPERLINK("https://www.somogyi.sk/product/univerzalny-dialkovy-ovladac-urc-jump-16487","https://www.somogyi.sk/product/univerzalny-dialkovy-ovladac-urc-jump-16487")</f>
        <v>0.0</v>
      </c>
      <c r="E614" s="7" t="n">
        <f>HYPERLINK("https://www.somogyi.sk/data/img/product_main_images/small/16487.jpg","https://www.somogyi.sk/data/img/product_main_images/small/16487.jpg")</f>
        <v>0.0</v>
      </c>
      <c r="F614" s="2" t="inlineStr">
        <is>
          <t>5999084945190</t>
        </is>
      </c>
      <c r="G614" s="4" t="inlineStr">
        <is>
          <t xml:space="preserve"> • učiaci sa: áno 
 • napájanie: CR2032 batéria (je príslušenstvom)</t>
        </is>
      </c>
    </row>
    <row r="615">
      <c r="A615" s="3" t="inlineStr">
        <is>
          <t>URCHIS</t>
        </is>
      </c>
      <c r="B615" s="2" t="inlineStr">
        <is>
          <t>Diaľkový ovládač Hisense TV</t>
        </is>
      </c>
      <c r="C615" s="1" t="n">
        <v>8.59</v>
      </c>
      <c r="D615" s="7" t="n">
        <f>HYPERLINK("https://www.somogyi.sk/product/dialkovy-ovladac-hisense-tv-urchis-18437","https://www.somogyi.sk/product/dialkovy-ovladac-hisense-tv-urchis-18437")</f>
        <v>0.0</v>
      </c>
      <c r="E615" s="7" t="n">
        <f>HYPERLINK("https://www.somogyi.sk/data/img/product_main_images/small/18437.jpg","https://www.somogyi.sk/data/img/product_main_images/small/18437.jpg")</f>
        <v>0.0</v>
      </c>
      <c r="F615" s="2" t="inlineStr">
        <is>
          <t>5999084964559</t>
        </is>
      </c>
      <c r="G615" s="4" t="inlineStr">
        <is>
          <t xml:space="preserve"> • náhrada koľkých diaľkových ovládačov: 1 
 • napájanie: 2 x 1,5 V (AAA) batéria, nie je príslušenstvom</t>
        </is>
      </c>
    </row>
    <row r="616">
      <c r="A616" s="3" t="inlineStr">
        <is>
          <t>URC 10</t>
        </is>
      </c>
      <c r="B616" s="2" t="inlineStr">
        <is>
          <t xml:space="preserve">Univerzálny diaľkový ovládač, k 8 prístrojom </t>
        </is>
      </c>
      <c r="C616" s="1" t="n">
        <v>5.69</v>
      </c>
      <c r="D616" s="7" t="n">
        <f>HYPERLINK("https://www.somogyi.sk/product/univerzalny-dialkovy-ovladac-k-8-pristrojom-urc-10-7097","https://www.somogyi.sk/product/univerzalny-dialkovy-ovladac-k-8-pristrojom-urc-10-7097")</f>
        <v>0.0</v>
      </c>
      <c r="E616" s="7" t="n">
        <f>HYPERLINK("https://www.somogyi.sk/data/img/product_main_images/small/07097.jpg","https://www.somogyi.sk/data/img/product_main_images/small/07097.jpg")</f>
        <v>0.0</v>
      </c>
      <c r="F616" s="2" t="inlineStr">
        <is>
          <t>5998312760918</t>
        </is>
      </c>
      <c r="G616" s="4" t="inlineStr">
        <is>
          <t xml:space="preserve"> • náhrada koľkých diaľkových ovládačov: 8 
 • LCD displej: nie 
 • podsvietenie pozadia / tlačidiel: nie 
 • učiaci sa: nie 
 • vyhľadávanie kódu: manuálne / automatické 
 • držiak: nie 
 • napájanie: 2 x AAA batéria (nie je príslušenstvo) 
 • rozmery: 45 x 21 x 182 mm</t>
        </is>
      </c>
    </row>
    <row r="617">
      <c r="A617" s="3" t="inlineStr">
        <is>
          <t>URC GATE</t>
        </is>
      </c>
      <c r="B617" s="2" t="inlineStr">
        <is>
          <t>Univerzálny diaľkový ovládač, učiaci sa</t>
        </is>
      </c>
      <c r="C617" s="1" t="n">
        <v>10.99</v>
      </c>
      <c r="D617" s="7" t="n">
        <f>HYPERLINK("https://www.somogyi.sk/product/univerzalny-dialkovy-ovladac-uciaci-sa-urc-gate-15823","https://www.somogyi.sk/product/univerzalny-dialkovy-ovladac-uciaci-sa-urc-gate-15823")</f>
        <v>0.0</v>
      </c>
      <c r="E617" s="7" t="n">
        <f>HYPERLINK("https://www.somogyi.sk/data/img/product_main_images/small/15823.jpg","https://www.somogyi.sk/data/img/product_main_images/small/15823.jpg")</f>
        <v>0.0</v>
      </c>
      <c r="F617" s="2" t="inlineStr">
        <is>
          <t>5999084938574</t>
        </is>
      </c>
      <c r="G617" s="4" t="inlineStr">
        <is>
          <t xml:space="preserve"> • náhrada koľkých diaľkových ovládačov: 4 
 • učiaci sa: áno 
 • napájanie: LR27A (12V) (je príslušenstvom)</t>
        </is>
      </c>
    </row>
    <row r="618">
      <c r="A618" s="6" t="inlineStr">
        <is>
          <t xml:space="preserve">   Bytové doplnky / Nástenná konzola</t>
        </is>
      </c>
      <c r="B618" s="6" t="inlineStr">
        <is>
          <t/>
        </is>
      </c>
      <c r="C618" s="6" t="inlineStr">
        <is>
          <t/>
        </is>
      </c>
      <c r="D618" s="6" t="inlineStr">
        <is>
          <t/>
        </is>
      </c>
      <c r="E618" s="6" t="inlineStr">
        <is>
          <t/>
        </is>
      </c>
      <c r="F618" s="6" t="inlineStr">
        <is>
          <t/>
        </is>
      </c>
      <c r="G618" s="6" t="inlineStr">
        <is>
          <t/>
        </is>
      </c>
    </row>
    <row r="619">
      <c r="A619" s="3" t="inlineStr">
        <is>
          <t>LCDH 321</t>
        </is>
      </c>
      <c r="B619" s="2" t="inlineStr">
        <is>
          <t>Nástenná konzola 23"-55", FULL MOTION</t>
        </is>
      </c>
      <c r="C619" s="1" t="n">
        <v>18.79</v>
      </c>
      <c r="D619" s="7" t="n">
        <f>HYPERLINK("https://www.somogyi.sk/product/nastenna-konzola-23-55-full-motion-lcdh-321-18109","https://www.somogyi.sk/product/nastenna-konzola-23-55-full-motion-lcdh-321-18109")</f>
        <v>0.0</v>
      </c>
      <c r="E619" s="7" t="n">
        <f>HYPERLINK("https://www.somogyi.sk/data/img/product_main_images/small/18109.jpg","https://www.somogyi.sk/data/img/product_main_images/small/18109.jpg")</f>
        <v>0.0</v>
      </c>
      <c r="F619" s="2" t="inlineStr">
        <is>
          <t>5999084961312</t>
        </is>
      </c>
      <c r="G619" s="4" t="inlineStr">
        <is>
          <t xml:space="preserve"> • materiál: kovové 
 • rozmer obrazovky: 23" - 55" 
 • max. nosnosť: 30 kg 
 • VESA: 100x100,100x200,200x100,200x200,300x200,400x200,300x300,400x300,400x400 
 • príslušenstvo: nástenný inštalačný materiál</t>
        </is>
      </c>
    </row>
    <row r="620">
      <c r="A620" s="3" t="inlineStr">
        <is>
          <t>LCDH 291</t>
        </is>
      </c>
      <c r="B620" s="2" t="inlineStr">
        <is>
          <t>Nástenná konzola 23"-55", FULL MOTION</t>
        </is>
      </c>
      <c r="C620" s="1" t="n">
        <v>27.79</v>
      </c>
      <c r="D620" s="7" t="n">
        <f>HYPERLINK("https://www.somogyi.sk/product/nastenna-konzola-23-55-full-motion-lcdh-291-18110","https://www.somogyi.sk/product/nastenna-konzola-23-55-full-motion-lcdh-291-18110")</f>
        <v>0.0</v>
      </c>
      <c r="E620" s="7" t="n">
        <f>HYPERLINK("https://www.somogyi.sk/data/img/product_main_images/small/18110.jpg","https://www.somogyi.sk/data/img/product_main_images/small/18110.jpg")</f>
        <v>0.0</v>
      </c>
      <c r="F620" s="2" t="inlineStr">
        <is>
          <t>5999084961329</t>
        </is>
      </c>
      <c r="G620" s="4" t="inlineStr">
        <is>
          <t xml:space="preserve"> • materiál: kovové 
 • rozmer obrazovky: 23" - 55" 
 • max. nosnosť: 30 kg 
 •  
 • VESA: 100x100,100x200,200x100,200x200,300x200,400x200,300x300,400x300,400x400 
 • príslušenstvo: nástenný inštalačný materiál</t>
        </is>
      </c>
    </row>
    <row r="621">
      <c r="A621" s="3" t="inlineStr">
        <is>
          <t>LCDH 01/BK</t>
        </is>
      </c>
      <c r="B621" s="2" t="inlineStr">
        <is>
          <t>Nástenná konzola max 15kg</t>
        </is>
      </c>
      <c r="C621" s="1" t="n">
        <v>28.99</v>
      </c>
      <c r="D621" s="7" t="n">
        <f>HYPERLINK("https://www.somogyi.sk/product/nastenna-konzola-max-15kg-lcdh-01-bk-14432","https://www.somogyi.sk/product/nastenna-konzola-max-15kg-lcdh-01-bk-14432")</f>
        <v>0.0</v>
      </c>
      <c r="E621" s="7" t="n">
        <f>HYPERLINK("https://www.somogyi.sk/data/img/product_main_images/small/14432.jpg","https://www.somogyi.sk/data/img/product_main_images/small/14432.jpg")</f>
        <v>0.0</v>
      </c>
      <c r="F621" s="2" t="inlineStr">
        <is>
          <t>5999084924805</t>
        </is>
      </c>
      <c r="G621" s="4" t="inlineStr">
        <is>
          <t xml:space="preserve"> • materiál: zliatina hliníka 
 • rozmer obrazovky: - 
 • max. nosnosť: 15 kg 
 • automatické zafixovanie, rýchle uvoľnenie: nie 
 • sklopiteľný: +/- 80° 
 • možnosť otáčania vo viacerých smeroch: áno 
 • zabudovaná vodováha: nie 
 • VESA: 75 x75, 100 x 100 
 • rozmery: -</t>
        </is>
      </c>
    </row>
    <row r="622">
      <c r="A622" s="3" t="inlineStr">
        <is>
          <t>LCDH 18</t>
        </is>
      </c>
      <c r="B622" s="2" t="inlineStr">
        <is>
          <t>Nástenná konzola 32"-55", nakloniteľná</t>
        </is>
      </c>
      <c r="C622" s="1" t="n">
        <v>16.99</v>
      </c>
      <c r="D622" s="7" t="n">
        <f>HYPERLINK("https://www.somogyi.sk/product/nastenna-konzola-32-55-naklonitelna-lcdh-18-14588","https://www.somogyi.sk/product/nastenna-konzola-32-55-naklonitelna-lcdh-18-14588")</f>
        <v>0.0</v>
      </c>
      <c r="E622" s="7" t="n">
        <f>HYPERLINK("https://www.somogyi.sk/data/img/product_main_images/small/14588.jpg","https://www.somogyi.sk/data/img/product_main_images/small/14588.jpg")</f>
        <v>0.0</v>
      </c>
      <c r="F622" s="2" t="inlineStr">
        <is>
          <t>5999084926304</t>
        </is>
      </c>
      <c r="G622" s="4" t="inlineStr">
        <is>
          <t xml:space="preserve"> • materiál: kov 
 • rozmer obrazovky: 32" - 55" 
 • max. nosnosť: 40 kg 
 • automatické zafixovanie, rýchle uvoľnenie: nie 
 • sklopiteľný: +/- 12° 
 • možnosť otáčania vo viacerých smeroch: nie 
 • zabudovaná vodováha: áno 
 • VESA: 200 x 200, 400 x 200, 300 x 300, 400 x 400 
 • rozmery: -</t>
        </is>
      </c>
    </row>
    <row r="623">
      <c r="A623" s="3" t="inlineStr">
        <is>
          <t>LCDH 33</t>
        </is>
      </c>
      <c r="B623" s="2" t="inlineStr">
        <is>
          <t>Nástenná konzola, 37"-80", FULL MOTION, čierna</t>
        </is>
      </c>
      <c r="C623" s="1" t="n">
        <v>62.49</v>
      </c>
      <c r="D623" s="7" t="n">
        <f>HYPERLINK("https://www.somogyi.sk/product/nastenna-konzola-37-80-full-motion-cierna-lcdh-33-17893","https://www.somogyi.sk/product/nastenna-konzola-37-80-full-motion-cierna-lcdh-33-17893")</f>
        <v>0.0</v>
      </c>
      <c r="E623" s="7" t="n">
        <f>HYPERLINK("https://www.somogyi.sk/data/img/product_main_images/small/17893.jpg","https://www.somogyi.sk/data/img/product_main_images/small/17893.jpg")</f>
        <v>0.0</v>
      </c>
      <c r="F623" s="2" t="inlineStr">
        <is>
          <t>5999084959159</t>
        </is>
      </c>
      <c r="G623" s="4" t="inlineStr">
        <is>
          <t xml:space="preserve"> • rozmer obrazovky: 37"-80" 
 • max. nosnosť: 45 kg 
 • sklopiteľný: áno 
 • možnosť otáčania vo viacerých smeroch: áno 
 • VESA: VESA 200x200, 200x300, 300x200, 200x400, 400x200, 300x300, 300x400, 400x300, 600x200, 400x400, 600x300, 600x400</t>
        </is>
      </c>
    </row>
    <row r="624">
      <c r="A624" s="3" t="inlineStr">
        <is>
          <t>LCDH 19</t>
        </is>
      </c>
      <c r="B624" s="2" t="inlineStr">
        <is>
          <t>Nástenná konzola 37"-70", nakloniteľná</t>
        </is>
      </c>
      <c r="C624" s="1" t="n">
        <v>18.49</v>
      </c>
      <c r="D624" s="7" t="n">
        <f>HYPERLINK("https://www.somogyi.sk/product/nastenna-konzola-37-70-naklonitelna-lcdh-19-14587","https://www.somogyi.sk/product/nastenna-konzola-37-70-naklonitelna-lcdh-19-14587")</f>
        <v>0.0</v>
      </c>
      <c r="E624" s="7" t="n">
        <f>HYPERLINK("https://www.somogyi.sk/data/img/product_main_images/small/14587.jpg","https://www.somogyi.sk/data/img/product_main_images/small/14587.jpg")</f>
        <v>0.0</v>
      </c>
      <c r="F624" s="2" t="inlineStr">
        <is>
          <t>5999084926298</t>
        </is>
      </c>
      <c r="G624" s="4" t="inlineStr">
        <is>
          <t xml:space="preserve"> • materiál: kov 
 • rozmer obrazovky: 37" - 70" 
 • max. nosnosť: 40 kg 
 • automatické zafixovanie, rýchle uvoľnenie: nie 
 • sklopiteľný: +/- 12° 
 • možnosť otáčania vo viacerých smeroch: nie 
 • zabudovaná vodováha: áno 
 • VESA: 200 x 200, 400 x 200, 300 x 300, 400 x 400, 600 x 400 
 • rozmery: -</t>
        </is>
      </c>
    </row>
    <row r="625">
      <c r="A625" s="3" t="inlineStr">
        <is>
          <t>LCDH 081</t>
        </is>
      </c>
      <c r="B625" s="2" t="inlineStr">
        <is>
          <t>Nástenná konzola 32"-55", fixná</t>
        </is>
      </c>
      <c r="C625" s="1" t="n">
        <v>14.19</v>
      </c>
      <c r="D625" s="7" t="n">
        <f>HYPERLINK("https://www.somogyi.sk/product/nastenna-konzola-32-55-fixna-lcdh-081-18108","https://www.somogyi.sk/product/nastenna-konzola-32-55-fixna-lcdh-081-18108")</f>
        <v>0.0</v>
      </c>
      <c r="E625" s="7" t="n">
        <f>HYPERLINK("https://www.somogyi.sk/data/img/product_main_images/small/18108.jpg","https://www.somogyi.sk/data/img/product_main_images/small/18108.jpg")</f>
        <v>0.0</v>
      </c>
      <c r="F625" s="2" t="inlineStr">
        <is>
          <t>5999084961305</t>
        </is>
      </c>
      <c r="G625" s="4" t="inlineStr">
        <is>
          <t xml:space="preserve"> • materiál: kovové 
 • rozmer obrazovky: 32" - 55" 
 • max. nosnosť: 45 kg 
 • VESA: 75x75,100x100,100x150,150x100,100x200,200x100,150x150,200x200,300x200,400x200,300x300,400x300,400x400 
 • príslušenstvo: upevňovacie prvky</t>
        </is>
      </c>
    </row>
    <row r="626">
      <c r="A626" s="3" t="inlineStr">
        <is>
          <t>LCDH 071</t>
        </is>
      </c>
      <c r="B626" s="2" t="inlineStr">
        <is>
          <t>Nástenná konzola 23"-42", fixná</t>
        </is>
      </c>
      <c r="C626" s="1" t="n">
        <v>12.49</v>
      </c>
      <c r="D626" s="7" t="n">
        <f>HYPERLINK("https://www.somogyi.sk/product/nastenna-konzola-23-42-fixna-lcdh-071-18107","https://www.somogyi.sk/product/nastenna-konzola-23-42-fixna-lcdh-071-18107")</f>
        <v>0.0</v>
      </c>
      <c r="E626" s="7" t="n">
        <f>HYPERLINK("https://www.somogyi.sk/data/img/product_main_images/small/18107.jpg","https://www.somogyi.sk/data/img/product_main_images/small/18107.jpg")</f>
        <v>0.0</v>
      </c>
      <c r="F626" s="2" t="inlineStr">
        <is>
          <t>5999084961299</t>
        </is>
      </c>
      <c r="G626" s="4" t="inlineStr">
        <is>
          <t xml:space="preserve"> • materiál: kovové 
 • rozmer obrazovky: 23" - 42" 
 • max. nosnosť: 45 kg 
 • VESA: 75x75,100x100,100x150,150x100,100x200,200x100,150x150,200x200 
 • príslušenstvo: upevňovacie prvky</t>
        </is>
      </c>
    </row>
    <row r="627">
      <c r="A627" s="3" t="inlineStr">
        <is>
          <t>LCDH 31</t>
        </is>
      </c>
      <c r="B627" s="2" t="inlineStr">
        <is>
          <t>Nástenná konzola 37"-90", FULL MOTON, čierna farba</t>
        </is>
      </c>
      <c r="C627" s="1" t="n">
        <v>114.9</v>
      </c>
      <c r="D627" s="7" t="n">
        <f>HYPERLINK("https://www.somogyi.sk/product/nastenna-konzola-37-90-full-moton-cierna-farba-lcdh-31-16545","https://www.somogyi.sk/product/nastenna-konzola-37-90-full-moton-cierna-farba-lcdh-31-16545")</f>
        <v>0.0</v>
      </c>
      <c r="E627" s="7" t="n">
        <f>HYPERLINK("https://www.somogyi.sk/data/img/product_main_images/small/16545.jpg","https://www.somogyi.sk/data/img/product_main_images/small/16545.jpg")</f>
        <v>0.0</v>
      </c>
      <c r="F627" s="2" t="inlineStr">
        <is>
          <t>5999084945770</t>
        </is>
      </c>
      <c r="G627" s="4" t="inlineStr">
        <is>
          <t xml:space="preserve"> • rozmer obrazovky: 37" - 90" 
 • max. nosnosť: 75 Kg 
 • zabudovaná vodováha: áno 
 • VESA: VESA 200x200, 300x300, 400x200, 400x400, 600x400, 800x400</t>
        </is>
      </c>
    </row>
    <row r="628">
      <c r="A628" s="3" t="inlineStr">
        <is>
          <t>LCDH 30</t>
        </is>
      </c>
      <c r="B628" s="2" t="inlineStr">
        <is>
          <t>Nástenná konzola 60"-100", NAKLONITEĽNÁ, čierna farba</t>
        </is>
      </c>
      <c r="C628" s="1" t="n">
        <v>57.89</v>
      </c>
      <c r="D628" s="7" t="n">
        <f>HYPERLINK("https://www.somogyi.sk/product/nastenna-konzola-60-100-naklonitelna-cierna-farba-lcdh-30-16544","https://www.somogyi.sk/product/nastenna-konzola-60-100-naklonitelna-cierna-farba-lcdh-30-16544")</f>
        <v>0.0</v>
      </c>
      <c r="E628" s="7" t="n">
        <f>HYPERLINK("https://www.somogyi.sk/data/img/product_main_images/small/16544.jpg","https://www.somogyi.sk/data/img/product_main_images/small/16544.jpg")</f>
        <v>0.0</v>
      </c>
      <c r="F628" s="2" t="inlineStr">
        <is>
          <t>5999084945763</t>
        </is>
      </c>
      <c r="G628" s="4" t="inlineStr">
        <is>
          <t xml:space="preserve"> • rozmer obrazovky: 60" - 100" 
 • max. nosnosť: 75 Kg 
 • automatické zafixovanie, rýchle uvoľnenie: áno 
 • zabudovaná vodováha: áno 
 • VESA: 200x200, 300x200, 300x300, 400x200, 400x300, 400x400, 600x400, 600x600, 800x600, 900x600</t>
        </is>
      </c>
    </row>
    <row r="629">
      <c r="A629" s="3" t="inlineStr">
        <is>
          <t>LCDS95</t>
        </is>
      </c>
      <c r="B629" s="2" t="inlineStr">
        <is>
          <t>Bezpečnostný popruh k TV, max. 200 kg, 95 cm</t>
        </is>
      </c>
      <c r="C629" s="1" t="n">
        <v>13.79</v>
      </c>
      <c r="D629" s="7" t="n">
        <f>HYPERLINK("https://www.somogyi.sk/product/bezpecnostny-popruh-k-tv-max-200-kg-95-cm-lcds95-18994","https://www.somogyi.sk/product/bezpecnostny-popruh-k-tv-max-200-kg-95-cm-lcds95-18994")</f>
        <v>0.0</v>
      </c>
      <c r="E629" s="7" t="n">
        <f>HYPERLINK("https://www.somogyi.sk/data/img/product_main_images/small/18994.jpg","https://www.somogyi.sk/data/img/product_main_images/small/18994.jpg")</f>
        <v>0.0</v>
      </c>
      <c r="F629" s="2" t="inlineStr">
        <is>
          <t>5999084969882</t>
        </is>
      </c>
      <c r="G629" s="4" t="inlineStr">
        <is>
          <t xml:space="preserve"> • max. nosnosť: 120 kg</t>
        </is>
      </c>
    </row>
    <row r="630">
      <c r="A630" s="6" t="inlineStr">
        <is>
          <t xml:space="preserve">   Bytové doplnky / Nabíjačka  akumulátorov, tester batérií</t>
        </is>
      </c>
      <c r="B630" s="6" t="inlineStr">
        <is>
          <t/>
        </is>
      </c>
      <c r="C630" s="6" t="inlineStr">
        <is>
          <t/>
        </is>
      </c>
      <c r="D630" s="6" t="inlineStr">
        <is>
          <t/>
        </is>
      </c>
      <c r="E630" s="6" t="inlineStr">
        <is>
          <t/>
        </is>
      </c>
      <c r="F630" s="6" t="inlineStr">
        <is>
          <t/>
        </is>
      </c>
      <c r="G630" s="6" t="inlineStr">
        <is>
          <t/>
        </is>
      </c>
    </row>
    <row r="631">
      <c r="A631" s="3" t="inlineStr">
        <is>
          <t>SBC 2</t>
        </is>
      </c>
      <c r="B631" s="2" t="inlineStr">
        <is>
          <t>Nabíjačka akumulátora</t>
        </is>
      </c>
      <c r="C631" s="1" t="n">
        <v>23.39</v>
      </c>
      <c r="D631" s="7" t="n">
        <f>HYPERLINK("https://www.somogyi.sk/product/nabijacka-akumulatora-sbc-2-17947","https://www.somogyi.sk/product/nabijacka-akumulatora-sbc-2-17947")</f>
        <v>0.0</v>
      </c>
      <c r="E631" s="7" t="n">
        <f>HYPERLINK("https://www.somogyi.sk/data/img/product_main_images/small/17947.jpg","https://www.somogyi.sk/data/img/product_main_images/small/17947.jpg")</f>
        <v>0.0</v>
      </c>
      <c r="F631" s="2" t="inlineStr">
        <is>
          <t>5999084959692</t>
        </is>
      </c>
      <c r="G631" s="4" t="inlineStr">
        <is>
          <t xml:space="preserve"> • nabíjateľné akumulátory: Li-ion / Ni-Mh 
 • rozmery akumulátorov: Li-ion 3,7 V: 10400, 14500, 16340, 17670, 18350, 18500, 18650, 26650 • Ni-MH/Ni-Cd 3,7 V: AA, AAA, AAAA, C 
 • počet súčasne nabíjaných akumulátorov: 2 ks 
 • nabíjací prúd: Li-ion x1: 0,5 A / 1 A / 2 A • Li-ion x2: 0,5 A / 1 A • Ni-MH/Ni-Cd: 0,5 A 
 • napájanie: 5 V , 2000 mA (micro USB - USB A kábel je príslušenstvom) 
 • rozmery: 131 x 68,2 x 38,5 mm 
 • hmotnosť: 109 g 
 • ochrana proti skratu: áno 
 • prepäťová ochrana: áno 
 • N/A: áno 
 • funkcia: powerbank funkcia 
 • ďalšie informácie: zariadenie automaticky rozpozná typ pripojených akumulátorov a podľa toho zvolí vhodné napätie a predvolený nabíjací prúd</t>
        </is>
      </c>
    </row>
    <row r="632">
      <c r="A632" s="3" t="inlineStr">
        <is>
          <t>ET 3</t>
        </is>
      </c>
      <c r="B632" s="2" t="inlineStr">
        <is>
          <t>Tester batérií</t>
        </is>
      </c>
      <c r="C632" s="1" t="n">
        <v>6.89</v>
      </c>
      <c r="D632" s="7" t="n">
        <f>HYPERLINK("https://www.somogyi.sk/product/tester-baterii-et-3-11998","https://www.somogyi.sk/product/tester-baterii-et-3-11998")</f>
        <v>0.0</v>
      </c>
      <c r="E632" s="7" t="n">
        <f>HYPERLINK("https://www.somogyi.sk/data/img/product_main_images/small/11998.jpg","https://www.somogyi.sk/data/img/product_main_images/small/11998.jpg")</f>
        <v>0.0</v>
      </c>
      <c r="F632" s="2" t="inlineStr">
        <is>
          <t>5999084902100</t>
        </is>
      </c>
      <c r="G632" s="4" t="inlineStr">
        <is>
          <t xml:space="preserve"> • rozmery akumulátorov: AA / AAA / C / D / 9 V      / 1,5 V -gombíková batéria 
 • počet súčasne nabíjaných akumulátorov: - 
 • tester akumulátorov: s analógovým prístrojom 
 • rozmery: 110 x 60 x 25 mm</t>
        </is>
      </c>
    </row>
    <row r="633">
      <c r="A633" s="6" t="inlineStr">
        <is>
          <t xml:space="preserve">   Bytové doplnky / Akumulátor</t>
        </is>
      </c>
      <c r="B633" s="6" t="inlineStr">
        <is>
          <t/>
        </is>
      </c>
      <c r="C633" s="6" t="inlineStr">
        <is>
          <t/>
        </is>
      </c>
      <c r="D633" s="6" t="inlineStr">
        <is>
          <t/>
        </is>
      </c>
      <c r="E633" s="6" t="inlineStr">
        <is>
          <t/>
        </is>
      </c>
      <c r="F633" s="6" t="inlineStr">
        <is>
          <t/>
        </is>
      </c>
      <c r="G633" s="6" t="inlineStr">
        <is>
          <t/>
        </is>
      </c>
    </row>
    <row r="634">
      <c r="A634" s="3" t="inlineStr">
        <is>
          <t>RT 1245E</t>
        </is>
      </c>
      <c r="B634" s="2" t="inlineStr">
        <is>
          <t>Olovený akumulátor, 12 V / 4,5 Ah</t>
        </is>
      </c>
      <c r="C634" s="1" t="n">
        <v>26.89</v>
      </c>
      <c r="D634" s="7" t="n">
        <f>HYPERLINK("https://www.somogyi.sk/product/oloveny-akumulator-12-v-4-5-ah-rt-1245e-8519","https://www.somogyi.sk/product/oloveny-akumulator-12-v-4-5-ah-rt-1245e-8519")</f>
        <v>0.0</v>
      </c>
      <c r="E634" s="7" t="n">
        <f>HYPERLINK("https://www.somogyi.sk/data/img/product_main_images/small/08519.jpg","https://www.somogyi.sk/data/img/product_main_images/small/08519.jpg")</f>
        <v>0.0</v>
      </c>
      <c r="F634" s="2" t="inlineStr">
        <is>
          <t>5998312774151</t>
        </is>
      </c>
      <c r="G634" s="4" t="inlineStr">
        <is>
          <t xml:space="preserve"> • technológia akumulátora: uzavretá, olovená 
 • napätie: 12 V 
 • kapacita: 4,5 Ah 
 • rozmery: 90 x 70 x 101 mm</t>
        </is>
      </c>
    </row>
    <row r="635">
      <c r="A635" s="3" t="inlineStr">
        <is>
          <t>M 700AAA</t>
        </is>
      </c>
      <c r="B635" s="2" t="inlineStr">
        <is>
          <t>Akumulátor, AAA, 700mA, Ni-Mh, 4ks/blister</t>
        </is>
      </c>
      <c r="C635" s="1" t="n">
        <v>7.49</v>
      </c>
      <c r="D635" s="7" t="n">
        <f>HYPERLINK("https://www.somogyi.sk/product/akumulator-aaa-700ma-ni-mh-4ks-blister-m-700aaa-4675","https://www.somogyi.sk/product/akumulator-aaa-700ma-ni-mh-4ks-blister-m-700aaa-4675")</f>
        <v>0.0</v>
      </c>
      <c r="E635" s="7" t="n">
        <f>HYPERLINK("https://www.somogyi.sk/data/img/product_main_images/small/04675.jpg","https://www.somogyi.sk/data/img/product_main_images/small/04675.jpg")</f>
        <v>0.0</v>
      </c>
      <c r="F635" s="2" t="inlineStr">
        <is>
          <t>5998312741269</t>
        </is>
      </c>
      <c r="G635" s="4" t="inlineStr">
        <is>
          <t xml:space="preserve"> • technológia akumulátora: NiMH 
 • napätie: 1,2 V 
 • kapacita: 700 mAh 
 • rozmery: AAA</t>
        </is>
      </c>
    </row>
    <row r="636">
      <c r="A636" s="3" t="inlineStr">
        <is>
          <t>RT 12120</t>
        </is>
      </c>
      <c r="B636" s="2" t="inlineStr">
        <is>
          <t>Olovený akumulátor, 12 V / 12 Ah</t>
        </is>
      </c>
      <c r="C636" s="1" t="n">
        <v>65.59</v>
      </c>
      <c r="D636" s="7" t="n">
        <f>HYPERLINK("https://www.somogyi.sk/product/oloveny-akumulator-12-v-12-ah-rt-12120-8521","https://www.somogyi.sk/product/oloveny-akumulator-12-v-12-ah-rt-12120-8521")</f>
        <v>0.0</v>
      </c>
      <c r="E636" s="7" t="n">
        <f>HYPERLINK("https://www.somogyi.sk/data/img/product_main_images/small/08521.jpg","https://www.somogyi.sk/data/img/product_main_images/small/08521.jpg")</f>
        <v>0.0</v>
      </c>
      <c r="F636" s="2" t="inlineStr">
        <is>
          <t>5998312774175</t>
        </is>
      </c>
      <c r="G636" s="4" t="inlineStr">
        <is>
          <t xml:space="preserve"> • technológia akumulátora: uzavretá, olovená 
 • napätie: 12 V 
 • kapacita: 12 Ah 
 • rozmery: 151 x 98 x 95 mm</t>
        </is>
      </c>
    </row>
    <row r="637">
      <c r="A637" s="3" t="inlineStr">
        <is>
          <t>5703</t>
        </is>
      </c>
      <c r="B637" s="2" t="inlineStr">
        <is>
          <t>AAA akumulátor 1000 mAh 4 ks/balenie</t>
        </is>
      </c>
      <c r="C637" s="1" t="n">
        <v>5.79</v>
      </c>
      <c r="D637" s="7" t="n">
        <f>HYPERLINK("https://www.somogyi.sk/product/aaa-akumulator-1000-mah-4-ks-balenie-5703-17895","https://www.somogyi.sk/product/aaa-akumulator-1000-mah-4-ks-balenie-5703-17895")</f>
        <v>0.0</v>
      </c>
      <c r="E637" s="7" t="n">
        <f>HYPERLINK("https://www.somogyi.sk/data/img/product_main_images/small/17895.jpg","https://www.somogyi.sk/data/img/product_main_images/small/17895.jpg")</f>
        <v>0.0</v>
      </c>
      <c r="F637" s="2" t="inlineStr">
        <is>
          <t>4008496594375</t>
        </is>
      </c>
      <c r="G637" s="4" t="inlineStr">
        <is>
          <t xml:space="preserve"> • 1000 mAh kapacita                                         
 • NiMH                                                              
 • RTU - Ready To Use - nabitý a pripravený na použitie                                 
 • 4 ks / blister 
 • Uvedená cena platí pre 1 kus.</t>
        </is>
      </c>
    </row>
    <row r="638">
      <c r="A638" s="3" t="inlineStr">
        <is>
          <t>RT 1280</t>
        </is>
      </c>
      <c r="B638" s="2" t="inlineStr">
        <is>
          <t>Olovený akumulátor 12V/8,0Ah</t>
        </is>
      </c>
      <c r="C638" s="1" t="n">
        <v>38.09</v>
      </c>
      <c r="D638" s="7" t="n">
        <f>HYPERLINK("https://www.somogyi.sk/product/oloveny-akumulator-12v-8-0ah-rt-1280-17597","https://www.somogyi.sk/product/oloveny-akumulator-12v-8-0ah-rt-1280-17597")</f>
        <v>0.0</v>
      </c>
      <c r="E638" s="7" t="n">
        <f>HYPERLINK("https://www.somogyi.sk/data/img/product_main_images/small/17597.jpg","https://www.somogyi.sk/data/img/product_main_images/small/17597.jpg")</f>
        <v>0.0</v>
      </c>
      <c r="F638" s="2" t="inlineStr">
        <is>
          <t>5999084956196</t>
        </is>
      </c>
      <c r="G638" s="4" t="inlineStr">
        <is>
          <t xml:space="preserve"> • napätie: 12 V 
 • kapacita: 8 Ah 
 • rozmery: 151 x 65 x 100 mm</t>
        </is>
      </c>
    </row>
    <row r="639">
      <c r="A639" s="3" t="inlineStr">
        <is>
          <t>56733</t>
        </is>
      </c>
      <c r="B639" s="2" t="inlineStr">
        <is>
          <t>AAA akumulátor 550 mAh 2 ks/balenie</t>
        </is>
      </c>
      <c r="C639" s="1" t="n">
        <v>3.69</v>
      </c>
      <c r="D639" s="7" t="n">
        <f>HYPERLINK("https://www.somogyi.sk/product/aaa-akumulator-550-mah-2-ks-balenie-56733-17894","https://www.somogyi.sk/product/aaa-akumulator-550-mah-2-ks-balenie-56733-17894")</f>
        <v>0.0</v>
      </c>
      <c r="E639" s="7" t="n">
        <f>HYPERLINK("https://www.somogyi.sk/data/img/product_main_images/small/17894.jpg","https://www.somogyi.sk/data/img/product_main_images/small/17894.jpg")</f>
        <v>0.0</v>
      </c>
      <c r="F639" s="2" t="inlineStr">
        <is>
          <t>4008496808083</t>
        </is>
      </c>
      <c r="G639" s="4" t="inlineStr">
        <is>
          <t xml:space="preserve"> • technológia akumulátora: NiMH 
 • kapacita: 550 mAh 
 • rozmery: AAA 
 • balenie: 2 ks / blister 
 • ďalšie informácie: Cena platí na 1 akumulátor.</t>
        </is>
      </c>
    </row>
    <row r="640">
      <c r="A640" s="3" t="inlineStr">
        <is>
          <t>RT 645</t>
        </is>
      </c>
      <c r="B640" s="2" t="inlineStr">
        <is>
          <t>Olovený akumulátor 6 V / 4,5 Ah</t>
        </is>
      </c>
      <c r="C640" s="1" t="n">
        <v>15.59</v>
      </c>
      <c r="D640" s="7" t="n">
        <f>HYPERLINK("https://www.somogyi.sk/product/oloveny-akumulator-6-v-4-5-ah-rt-645-8515","https://www.somogyi.sk/product/oloveny-akumulator-6-v-4-5-ah-rt-645-8515")</f>
        <v>0.0</v>
      </c>
      <c r="E640" s="7" t="n">
        <f>HYPERLINK("https://www.somogyi.sk/data/img/product_main_images/small/08515.jpg","https://www.somogyi.sk/data/img/product_main_images/small/08515.jpg")</f>
        <v>0.0</v>
      </c>
      <c r="F640" s="2" t="inlineStr">
        <is>
          <t>5998312774120</t>
        </is>
      </c>
      <c r="G640" s="4" t="inlineStr">
        <is>
          <t xml:space="preserve"> • technológia akumulátora: uzavretá, olovená 
 • napätie: 6 V 
 • kapacita: 4,5 Ah 
 • rozmery: 70 x 47 x 101 mm</t>
        </is>
      </c>
    </row>
    <row r="641">
      <c r="A641" s="3" t="inlineStr">
        <is>
          <t>56706</t>
        </is>
      </c>
      <c r="B641" s="2" t="inlineStr">
        <is>
          <t>AA akumulátor 2100 mAh 4 ks/balenie</t>
        </is>
      </c>
      <c r="C641" s="1" t="n">
        <v>4.59</v>
      </c>
      <c r="D641" s="7" t="n">
        <f>HYPERLINK("https://www.somogyi.sk/product/aa-akumulator-2100-mah-4-ks-balenie-56706-17897","https://www.somogyi.sk/product/aa-akumulator-2100-mah-4-ks-balenie-56706-17897")</f>
        <v>0.0</v>
      </c>
      <c r="E641" s="7" t="n">
        <f>HYPERLINK("https://www.somogyi.sk/data/img/product_main_images/small/17897.jpg","https://www.somogyi.sk/data/img/product_main_images/small/17897.jpg")</f>
        <v>0.0</v>
      </c>
      <c r="F641" s="2" t="inlineStr">
        <is>
          <t>4008496550692</t>
        </is>
      </c>
      <c r="G641" s="4" t="inlineStr">
        <is>
          <t xml:space="preserve"> • technológia akumulátora: NiMH RTU 
 • kapacita: 2100 mAh 
 • rozmery: AA 
 • balenie: 4 ks / blister 
 • ďalšie informácie: Cena platí na 1 akumulátor.</t>
        </is>
      </c>
    </row>
    <row r="642">
      <c r="A642" s="3" t="inlineStr">
        <is>
          <t>56736</t>
        </is>
      </c>
      <c r="B642" s="2" t="inlineStr">
        <is>
          <t>AA akumulátor 800 mAh 2 ks/balenie</t>
        </is>
      </c>
      <c r="C642" s="1" t="n">
        <v>2.89</v>
      </c>
      <c r="D642" s="7" t="n">
        <f>HYPERLINK("https://www.somogyi.sk/product/aa-akumulator-800-mah-2-ks-balenie-56736-17896","https://www.somogyi.sk/product/aa-akumulator-800-mah-2-ks-balenie-56736-17896")</f>
        <v>0.0</v>
      </c>
      <c r="E642" s="7" t="n">
        <f>HYPERLINK("https://www.somogyi.sk/data/img/product_main_images/small/17896.jpg","https://www.somogyi.sk/data/img/product_main_images/small/17896.jpg")</f>
        <v>0.0</v>
      </c>
      <c r="F642" s="2" t="inlineStr">
        <is>
          <t>4008496658688</t>
        </is>
      </c>
      <c r="G642" s="4" t="inlineStr">
        <is>
          <t xml:space="preserve"> • technológia akumulátora: NiMH 
 • kapacita: 800 mAh 
 • rozmery: AA 
 • balenie: 2 ks / blister 
 • ďalšie informácie: Cena platí na 1 akumulátor.</t>
        </is>
      </c>
    </row>
    <row r="643">
      <c r="A643" s="3" t="inlineStr">
        <is>
          <t>M 302AAA</t>
        </is>
      </c>
      <c r="B643" s="2" t="inlineStr">
        <is>
          <t>AAA akumulátor 300mAh,NiMh, 2 ks/blister</t>
        </is>
      </c>
      <c r="C643" s="1" t="n">
        <v>1.29</v>
      </c>
      <c r="D643" s="7" t="n">
        <f>HYPERLINK("https://www.somogyi.sk/product/aaa-akumulator-300mah-nimh-2-ks-blister-m-302aaa-17950","https://www.somogyi.sk/product/aaa-akumulator-300mah-nimh-2-ks-blister-m-302aaa-17950")</f>
        <v>0.0</v>
      </c>
      <c r="E643" s="7" t="n">
        <f>HYPERLINK("https://www.somogyi.sk/data/img/product_main_images/small/17950.jpg","https://www.somogyi.sk/data/img/product_main_images/small/17950.jpg")</f>
        <v>0.0</v>
      </c>
      <c r="F643" s="2" t="inlineStr">
        <is>
          <t>5999084959722</t>
        </is>
      </c>
      <c r="G643" s="4" t="inlineStr">
        <is>
          <t xml:space="preserve"> • technológia akumulátora: NiMH 
 • napätie: 1,2 V 
 • kapacita: 300 mAh 
 •  
 • balenie: 2 ks / blister</t>
        </is>
      </c>
    </row>
    <row r="644">
      <c r="A644" s="3" t="inlineStr">
        <is>
          <t>M 702AA</t>
        </is>
      </c>
      <c r="B644" s="2" t="inlineStr">
        <is>
          <t>AA akumulátor 700mAh,NiMh, 2 ks/blister</t>
        </is>
      </c>
      <c r="C644" s="1" t="n">
        <v>2.29</v>
      </c>
      <c r="D644" s="7" t="n">
        <f>HYPERLINK("https://www.somogyi.sk/product/aa-akumulator-700mah-nimh-2-ks-blister-m-702aa-17951","https://www.somogyi.sk/product/aa-akumulator-700mah-nimh-2-ks-blister-m-702aa-17951")</f>
        <v>0.0</v>
      </c>
      <c r="E644" s="7" t="n">
        <f>HYPERLINK("https://www.somogyi.sk/data/img/product_main_images/small/17951.jpg","https://www.somogyi.sk/data/img/product_main_images/small/17951.jpg")</f>
        <v>0.0</v>
      </c>
      <c r="F644" s="2" t="inlineStr">
        <is>
          <t>5999084959739</t>
        </is>
      </c>
      <c r="G644" s="4" t="inlineStr">
        <is>
          <t xml:space="preserve"> • technológia akumulátora: NiMH 
 • napätie: 1,2 V 
 • kapacita: 700 mAh 
 • rozmery: tužková 
 • balenie: 2 ks / blister</t>
        </is>
      </c>
    </row>
    <row r="645">
      <c r="A645" s="6" t="inlineStr">
        <is>
          <t xml:space="preserve">   Bytové doplnky / Batéria</t>
        </is>
      </c>
      <c r="B645" s="6" t="inlineStr">
        <is>
          <t/>
        </is>
      </c>
      <c r="C645" s="6" t="inlineStr">
        <is>
          <t/>
        </is>
      </c>
      <c r="D645" s="6" t="inlineStr">
        <is>
          <t/>
        </is>
      </c>
      <c r="E645" s="6" t="inlineStr">
        <is>
          <t/>
        </is>
      </c>
      <c r="F645" s="6" t="inlineStr">
        <is>
          <t/>
        </is>
      </c>
      <c r="G645" s="6" t="inlineStr">
        <is>
          <t/>
        </is>
      </c>
    </row>
    <row r="646">
      <c r="A646" s="3" t="inlineStr">
        <is>
          <t>Maxell R6</t>
        </is>
      </c>
      <c r="B646" s="2" t="inlineStr">
        <is>
          <t>AA batéria, polotrvalá, 4 ks</t>
        </is>
      </c>
      <c r="C646" s="1" t="n">
        <v>1.29</v>
      </c>
      <c r="D646" s="7" t="n">
        <f>HYPERLINK("https://www.somogyi.sk/product/aa-bateria-polotrvala-4-ks-maxell-r6-16353","https://www.somogyi.sk/product/aa-bateria-polotrvala-4-ks-maxell-r6-16353")</f>
        <v>0.0</v>
      </c>
      <c r="E646" s="7" t="n">
        <f>HYPERLINK("https://www.somogyi.sk/data/img/product_main_images/small/16353.jpg","https://www.somogyi.sk/data/img/product_main_images/small/16353.jpg")</f>
        <v>0.0</v>
      </c>
      <c r="F646" s="2" t="inlineStr">
        <is>
          <t>4902580153403</t>
        </is>
      </c>
      <c r="G646" s="4" t="inlineStr">
        <is>
          <t xml:space="preserve"> • polotrvalá: áno 
 • rozmery: tužková (AA) 
 • napätie: 1,5 V 
 • vyhotovenie: 4 ks / balenie</t>
        </is>
      </c>
    </row>
    <row r="647">
      <c r="A647" s="3" t="inlineStr">
        <is>
          <t>Maxell SR626SW</t>
        </is>
      </c>
      <c r="B647" s="2" t="inlineStr">
        <is>
          <t>Gombíková batéria, SR626</t>
        </is>
      </c>
      <c r="C647" s="1" t="n">
        <v>0.79</v>
      </c>
      <c r="D647" s="7" t="n">
        <f>HYPERLINK("https://www.somogyi.sk/product/gombikova-bateria-sr626-maxell-sr626sw-16595","https://www.somogyi.sk/product/gombikova-bateria-sr626-maxell-sr626sw-16595")</f>
        <v>0.0</v>
      </c>
      <c r="E647" s="7" t="n">
        <f>HYPERLINK("https://www.somogyi.sk/data/img/product_main_images/small/16595.jpg","https://www.somogyi.sk/data/img/product_main_images/small/16595.jpg")</f>
        <v>0.0</v>
      </c>
      <c r="F647" s="2" t="inlineStr">
        <is>
          <t>4902580132248</t>
        </is>
      </c>
      <c r="G647" s="4" t="inlineStr">
        <is>
          <t xml:space="preserve"> • rozmery: gombíková batéria (SR626SW) 
 • napätie: 1,55 V 
 • vyhotovenie: 10 ks / blister</t>
        </is>
      </c>
    </row>
    <row r="648">
      <c r="A648" s="3" t="inlineStr">
        <is>
          <t>LR6 24PK POWER PACK Maxell</t>
        </is>
      </c>
      <c r="B648" s="2" t="inlineStr">
        <is>
          <t>Tužková batéria (AA), alkalická, 4 x 6 ks</t>
        </is>
      </c>
      <c r="C648" s="1" t="n">
        <v>13.79</v>
      </c>
      <c r="D648" s="7" t="n">
        <f>HYPERLINK("https://www.somogyi.sk/product/tuzkova-bateria-aa-alkalicka-4-x-6-ks-lr6-24pk-power-pack-maxell-16293","https://www.somogyi.sk/product/tuzkova-bateria-aa-alkalicka-4-x-6-ks-lr6-24pk-power-pack-maxell-16293")</f>
        <v>0.0</v>
      </c>
      <c r="E648" s="7" t="n">
        <f>HYPERLINK("https://www.somogyi.sk/data/img/product_main_images/small/16293.jpg","https://www.somogyi.sk/data/img/product_main_images/small/16293.jpg")</f>
        <v>0.0</v>
      </c>
      <c r="F648" s="2" t="inlineStr">
        <is>
          <t>4902580748326</t>
        </is>
      </c>
      <c r="G648" s="4" t="inlineStr">
        <is>
          <t xml:space="preserve"> • napätie: 1,5 V 
 • vyhotovenie: 24 ks/krabica</t>
        </is>
      </c>
    </row>
    <row r="649">
      <c r="A649" s="3" t="inlineStr">
        <is>
          <t>Maxell LR1</t>
        </is>
      </c>
      <c r="B649" s="2" t="inlineStr">
        <is>
          <t>1,5 V batéria, alkalická</t>
        </is>
      </c>
      <c r="C649" s="1" t="n">
        <v>1.49</v>
      </c>
      <c r="D649" s="7" t="n">
        <f>HYPERLINK("https://www.somogyi.sk/product/1-5-v-bateria-alkalicka-maxell-lr1-16399","https://www.somogyi.sk/product/1-5-v-bateria-alkalicka-maxell-lr1-16399")</f>
        <v>0.0</v>
      </c>
      <c r="E649" s="7" t="n">
        <f>HYPERLINK("https://www.somogyi.sk/data/img/product_main_images/small/16399.jpg","https://www.somogyi.sk/data/img/product_main_images/small/16399.jpg")</f>
        <v>0.0</v>
      </c>
      <c r="F649" s="2" t="inlineStr">
        <is>
          <t>4902580150266</t>
        </is>
      </c>
      <c r="G649" s="4" t="inlineStr">
        <is>
          <t xml:space="preserve"> • alkalická: áno 
 • rozmery: LR 1 
 • napätie: 1,5 V 
 • vyhotovenie: 1 ks / blister</t>
        </is>
      </c>
    </row>
    <row r="650">
      <c r="A650" s="3" t="inlineStr">
        <is>
          <t>Maxell LR44</t>
        </is>
      </c>
      <c r="B650" s="2" t="inlineStr">
        <is>
          <t>Gombíková batéria, alkalická LR44</t>
        </is>
      </c>
      <c r="C650" s="1" t="n">
        <v>0.49</v>
      </c>
      <c r="D650" s="7" t="n">
        <f>HYPERLINK("https://www.somogyi.sk/product/gombikova-bateria-alkalicka-lr44-maxell-lr44-16371","https://www.somogyi.sk/product/gombikova-bateria-alkalicka-lr44-maxell-lr44-16371")</f>
        <v>0.0</v>
      </c>
      <c r="E650" s="7" t="n">
        <f>HYPERLINK("https://www.somogyi.sk/data/img/product_main_images/small/16371.jpg","https://www.somogyi.sk/data/img/product_main_images/small/16371.jpg")</f>
        <v>0.0</v>
      </c>
      <c r="F650" s="2" t="inlineStr">
        <is>
          <t>4902580131401</t>
        </is>
      </c>
      <c r="G650" s="4" t="inlineStr">
        <is>
          <t xml:space="preserve"> • alkalická: áno 
 • rozmery: gombíková batéria (LR44) 
 • napätie: 1,5 V 
 • vyhotovenie: 10 ks / blister</t>
        </is>
      </c>
    </row>
    <row r="651">
      <c r="A651" s="3" t="inlineStr">
        <is>
          <t>Maxell LR41</t>
        </is>
      </c>
      <c r="B651" s="2" t="inlineStr">
        <is>
          <t>Gombíková batéria, alkalická LR41</t>
        </is>
      </c>
      <c r="C651" s="1" t="n">
        <v>0.59</v>
      </c>
      <c r="D651" s="7" t="n">
        <f>HYPERLINK("https://www.somogyi.sk/product/gombikova-bateria-alkalicka-lr41-maxell-lr41-16594","https://www.somogyi.sk/product/gombikova-bateria-alkalicka-lr41-maxell-lr41-16594")</f>
        <v>0.0</v>
      </c>
      <c r="E651" s="7" t="n">
        <f>HYPERLINK("https://www.somogyi.sk/data/img/product_main_images/small/16594.jpg","https://www.somogyi.sk/data/img/product_main_images/small/16594.jpg")</f>
        <v>0.0</v>
      </c>
      <c r="F651" s="2" t="inlineStr">
        <is>
          <t>4902580132682</t>
        </is>
      </c>
      <c r="G651" s="4" t="inlineStr">
        <is>
          <t xml:space="preserve"> • alkalická: áno 
 • rozmery: gombíková batéria (LR41) 
 • napätie: 1,5 V 
 • vyhotovenie: 10 ks / blister</t>
        </is>
      </c>
    </row>
    <row r="652">
      <c r="A652" s="3" t="inlineStr">
        <is>
          <t>Maxell R03</t>
        </is>
      </c>
      <c r="B652" s="2" t="inlineStr">
        <is>
          <t>AAA batéria, polotrvalá, 4 ks</t>
        </is>
      </c>
      <c r="C652" s="1" t="n">
        <v>1.39</v>
      </c>
      <c r="D652" s="7" t="n">
        <f>HYPERLINK("https://www.somogyi.sk/product/aaa-bateria-polotrvala-4-ks-maxell-r03-16355","https://www.somogyi.sk/product/aaa-bateria-polotrvala-4-ks-maxell-r03-16355")</f>
        <v>0.0</v>
      </c>
      <c r="E652" s="7" t="n">
        <f>HYPERLINK("https://www.somogyi.sk/data/img/product_main_images/small/16355.jpg","https://www.somogyi.sk/data/img/product_main_images/small/16355.jpg")</f>
        <v>0.0</v>
      </c>
      <c r="F652" s="2" t="inlineStr">
        <is>
          <t>4902580154066</t>
        </is>
      </c>
      <c r="G652" s="4" t="inlineStr">
        <is>
          <t xml:space="preserve"> • polotrvalá: áno 
 • rozmery: mini tužková batéria (AAA) 
 • napätie: 1,5 V 
 • vyhotovenie: 4 ks / balenie</t>
        </is>
      </c>
    </row>
    <row r="653">
      <c r="A653" s="3" t="inlineStr">
        <is>
          <t>Maxell LR6 4+2</t>
        </is>
      </c>
      <c r="B653" s="2" t="inlineStr">
        <is>
          <t>Tužková batéria (AA), alkalická</t>
        </is>
      </c>
      <c r="C653" s="1" t="n">
        <v>3.19</v>
      </c>
      <c r="D653" s="7" t="n">
        <f>HYPERLINK("https://www.somogyi.sk/product/tuzkova-bateria-aa-alkalicka-maxell-lr6-4-2-16360","https://www.somogyi.sk/product/tuzkova-bateria-aa-alkalicka-maxell-lr6-4-2-16360")</f>
        <v>0.0</v>
      </c>
      <c r="E653" s="7" t="n">
        <f>HYPERLINK("https://www.somogyi.sk/data/img/product_main_images/small/16360.jpg","https://www.somogyi.sk/data/img/product_main_images/small/16360.jpg")</f>
        <v>0.0</v>
      </c>
      <c r="F653" s="2" t="inlineStr">
        <is>
          <t>4902580163846</t>
        </is>
      </c>
      <c r="G653" s="4" t="inlineStr">
        <is>
          <t xml:space="preserve"> • alkalická: áno 
 • rozmery: tužková (AA) 
 • napätie: 1,5 V 
 • vyhotovenie: 6 ks / blister</t>
        </is>
      </c>
    </row>
    <row r="654">
      <c r="A654" s="3" t="inlineStr">
        <is>
          <t>VARTA V23GA LR23</t>
        </is>
      </c>
      <c r="B654" s="2" t="inlineStr">
        <is>
          <t>LR23 Varta 12 V batéria, alkalická</t>
        </is>
      </c>
      <c r="C654" s="1" t="n">
        <v>1.79</v>
      </c>
      <c r="D654" s="7" t="n">
        <f>HYPERLINK("https://www.somogyi.sk/product/lr23-varta-12-v-bateria-alkalicka-varta-v23ga-lr23-16409","https://www.somogyi.sk/product/lr23-varta-12-v-bateria-alkalicka-varta-v23ga-lr23-16409")</f>
        <v>0.0</v>
      </c>
      <c r="E654" s="7" t="n">
        <f>HYPERLINK("https://www.somogyi.sk/data/img/product_main_images/small/16409.jpg","https://www.somogyi.sk/data/img/product_main_images/small/16409.jpg")</f>
        <v>0.0</v>
      </c>
      <c r="F654" s="2" t="inlineStr">
        <is>
          <t>4008496261628</t>
        </is>
      </c>
      <c r="G654" s="4" t="inlineStr">
        <is>
          <t xml:space="preserve"> • alkalická: áno 
 • rozmery: batéria (CR123) 
 • napätie: 12 V 
 • vyhotovenie: 1 ks / blister</t>
        </is>
      </c>
    </row>
    <row r="655">
      <c r="A655" s="3" t="inlineStr">
        <is>
          <t>Maxell LR14</t>
        </is>
      </c>
      <c r="B655" s="2" t="inlineStr">
        <is>
          <t>C batéria, alkalická, 2 ks / blister</t>
        </is>
      </c>
      <c r="C655" s="1" t="n">
        <v>3.79</v>
      </c>
      <c r="D655" s="7" t="n">
        <f>HYPERLINK("https://www.somogyi.sk/product/c-bateria-alkalicka-2-ks-blister-maxell-lr14-16358","https://www.somogyi.sk/product/c-bateria-alkalicka-2-ks-blister-maxell-lr14-16358")</f>
        <v>0.0</v>
      </c>
      <c r="E655" s="7" t="n">
        <f>HYPERLINK("https://www.somogyi.sk/data/img/product_main_images/small/16358.jpg","https://www.somogyi.sk/data/img/product_main_images/small/16358.jpg")</f>
        <v>0.0</v>
      </c>
      <c r="F655" s="2" t="inlineStr">
        <is>
          <t>4902580162184</t>
        </is>
      </c>
      <c r="G655" s="4" t="inlineStr">
        <is>
          <t xml:space="preserve"> • alkalická: áno 
 • rozmery: baby (C) 
 • napätie: 1,5 V 
 • vyhotovenie: 2 ks / blister</t>
        </is>
      </c>
    </row>
    <row r="656">
      <c r="A656" s="3" t="inlineStr">
        <is>
          <t>Maxell CR1620</t>
        </is>
      </c>
      <c r="B656" s="2" t="inlineStr">
        <is>
          <t>Gombíková batéria, 3 V</t>
        </is>
      </c>
      <c r="C656" s="1" t="n">
        <v>1.99</v>
      </c>
      <c r="D656" s="7" t="n">
        <f>HYPERLINK("https://www.somogyi.sk/product/gombikova-bateria-3-v-maxell-cr1620-17899","https://www.somogyi.sk/product/gombikova-bateria-3-v-maxell-cr1620-17899")</f>
        <v>0.0</v>
      </c>
      <c r="E656" s="7" t="n">
        <f>HYPERLINK("https://www.somogyi.sk/data/img/product_main_images/small/17899.jpg","https://www.somogyi.sk/data/img/product_main_images/small/17899.jpg")</f>
        <v>0.0</v>
      </c>
      <c r="F656" s="2" t="inlineStr">
        <is>
          <t>4902580776459</t>
        </is>
      </c>
      <c r="G656" s="4" t="inlineStr">
        <is>
          <t xml:space="preserve"> • lítiová                                                                
 • gombíková batéria (CR1620)                              
 • 3 V                                                                        
 • 5 ks / blister 
 • Uvedená cena platí pre 1 kus.</t>
        </is>
      </c>
    </row>
    <row r="657">
      <c r="A657" s="3" t="inlineStr">
        <is>
          <t>Maxell LR1130</t>
        </is>
      </c>
      <c r="B657" s="2" t="inlineStr">
        <is>
          <t>Gombíková batéria, alkalická 1,5 V, LR54</t>
        </is>
      </c>
      <c r="C657" s="1" t="n">
        <v>0.49</v>
      </c>
      <c r="D657" s="7" t="n">
        <f>HYPERLINK("https://www.somogyi.sk/product/gombikova-bateria-alkalicka-1-5-v-lr54-maxell-lr1130-16398","https://www.somogyi.sk/product/gombikova-bateria-alkalicka-1-5-v-lr54-maxell-lr1130-16398")</f>
        <v>0.0</v>
      </c>
      <c r="E657" s="7" t="n">
        <f>HYPERLINK("https://www.somogyi.sk/data/img/product_main_images/small/16398.jpg","https://www.somogyi.sk/data/img/product_main_images/small/16398.jpg")</f>
        <v>0.0</v>
      </c>
      <c r="F657" s="2" t="inlineStr">
        <is>
          <t>4902580131425</t>
        </is>
      </c>
      <c r="G657" s="4" t="inlineStr">
        <is>
          <t xml:space="preserve"> • alkalická: áno 
 • rozmery: gombíková batéria (LR1130) 
 • napätie: 1,5 V 
 • vyhotovenie: 10 ks / blister</t>
        </is>
      </c>
    </row>
    <row r="658">
      <c r="A658" s="3" t="inlineStr">
        <is>
          <t>Maxell R14</t>
        </is>
      </c>
      <c r="B658" s="2" t="inlineStr">
        <is>
          <t>C batéria, polotrvalá, 2 ks</t>
        </is>
      </c>
      <c r="C658" s="1" t="n">
        <v>1.69</v>
      </c>
      <c r="D658" s="7" t="n">
        <f>HYPERLINK("https://www.somogyi.sk/product/c-bateria-polotrvala-2-ks-maxell-r14-16352","https://www.somogyi.sk/product/c-bateria-polotrvala-2-ks-maxell-r14-16352")</f>
        <v>0.0</v>
      </c>
      <c r="E658" s="7" t="n">
        <f>HYPERLINK("https://www.somogyi.sk/data/img/product_main_images/small/16352.jpg","https://www.somogyi.sk/data/img/product_main_images/small/16352.jpg")</f>
        <v>0.0</v>
      </c>
      <c r="F658" s="2" t="inlineStr">
        <is>
          <t>4902580152185</t>
        </is>
      </c>
      <c r="G658" s="4" t="inlineStr">
        <is>
          <t xml:space="preserve"> • polotrvalá: áno 
 • rozmery: baby (C) 
 • napätie: 1,5 V 
 • vyhotovenie: 2 ks / balenie</t>
        </is>
      </c>
    </row>
    <row r="659">
      <c r="A659" s="3" t="inlineStr">
        <is>
          <t>Maxell R20</t>
        </is>
      </c>
      <c r="B659" s="2" t="inlineStr">
        <is>
          <t>D batéria, polotrvalá, 2 ks</t>
        </is>
      </c>
      <c r="C659" s="1" t="n">
        <v>2.19</v>
      </c>
      <c r="D659" s="7" t="n">
        <f>HYPERLINK("https://www.somogyi.sk/product/d-bateria-polotrvala-2-ks-maxell-r20-16351","https://www.somogyi.sk/product/d-bateria-polotrvala-2-ks-maxell-r20-16351")</f>
        <v>0.0</v>
      </c>
      <c r="E659" s="7" t="n">
        <f>HYPERLINK("https://www.somogyi.sk/data/img/product_main_images/small/16351.jpg","https://www.somogyi.sk/data/img/product_main_images/small/16351.jpg")</f>
        <v>0.0</v>
      </c>
      <c r="F659" s="2" t="inlineStr">
        <is>
          <t>4902580151171</t>
        </is>
      </c>
      <c r="G659" s="4" t="inlineStr">
        <is>
          <t xml:space="preserve"> • polotrvalá: áno 
 • rozmery: batéria (D) 
 • napätie: 1,5 V 
 • vyhotovenie: 2 ks / balenie</t>
        </is>
      </c>
    </row>
    <row r="660">
      <c r="A660" s="3" t="inlineStr">
        <is>
          <t>Maxell CR1616</t>
        </is>
      </c>
      <c r="B660" s="2" t="inlineStr">
        <is>
          <t>Gombíková batéria, 3 V</t>
        </is>
      </c>
      <c r="C660" s="1" t="n">
        <v>1.59</v>
      </c>
      <c r="D660" s="7" t="n">
        <f>HYPERLINK("https://www.somogyi.sk/product/gombikova-bateria-3-v-maxell-cr1616-17898","https://www.somogyi.sk/product/gombikova-bateria-3-v-maxell-cr1616-17898")</f>
        <v>0.0</v>
      </c>
      <c r="E660" s="7" t="n">
        <f>HYPERLINK("https://www.somogyi.sk/data/img/product_main_images/small/17898.jpg","https://www.somogyi.sk/data/img/product_main_images/small/17898.jpg")</f>
        <v>0.0</v>
      </c>
      <c r="F660" s="2" t="inlineStr">
        <is>
          <t>4902580776435</t>
        </is>
      </c>
      <c r="G660" s="4" t="inlineStr">
        <is>
          <t xml:space="preserve"> • lítiová                                                                
 • gombíková batéria (CR1616)                              
 • 3 V                                                                        
 • 5 ks / blister 
 • Uvedená cena platí pre 1 kus.</t>
        </is>
      </c>
    </row>
    <row r="661">
      <c r="A661" s="3" t="inlineStr">
        <is>
          <t>Maxell CR2016</t>
        </is>
      </c>
      <c r="B661" s="2" t="inlineStr">
        <is>
          <t>Gombíková batéria, lítiová 3 V</t>
        </is>
      </c>
      <c r="C661" s="1" t="n">
        <v>1.09</v>
      </c>
      <c r="D661" s="7" t="n">
        <f>HYPERLINK("https://www.somogyi.sk/product/gombikova-bateria-litiova-3-v-maxell-cr2016-16363","https://www.somogyi.sk/product/gombikova-bateria-litiova-3-v-maxell-cr2016-16363")</f>
        <v>0.0</v>
      </c>
      <c r="E661" s="7" t="n">
        <f>HYPERLINK("https://www.somogyi.sk/data/img/product_main_images/small/16363.jpg","https://www.somogyi.sk/data/img/product_main_images/small/16363.jpg")</f>
        <v>0.0</v>
      </c>
      <c r="F661" s="2" t="inlineStr">
        <is>
          <t>4902580131272</t>
        </is>
      </c>
      <c r="G661" s="4" t="inlineStr">
        <is>
          <t xml:space="preserve"> • lítiová: áno 
 • rozmery: gombíková batéria (CR2016) 
 • napätie: 3 V 
 • vyhotovenie: 5 ks / blister</t>
        </is>
      </c>
    </row>
    <row r="662">
      <c r="A662" s="3" t="inlineStr">
        <is>
          <t>VARTA CR1220</t>
        </is>
      </c>
      <c r="B662" s="2" t="inlineStr">
        <is>
          <t>CR1220 Varta 3 V gombíková batéria, lítiová</t>
        </is>
      </c>
      <c r="C662" s="1" t="n">
        <v>1.99</v>
      </c>
      <c r="D662" s="7" t="n">
        <f>HYPERLINK("https://www.somogyi.sk/product/cr1220-varta-3-v-gombikova-bateria-litiova-varta-cr1220-16403","https://www.somogyi.sk/product/cr1220-varta-3-v-gombikova-bateria-litiova-varta-cr1220-16403")</f>
        <v>0.0</v>
      </c>
      <c r="E662" s="7" t="n">
        <f>HYPERLINK("https://www.somogyi.sk/data/img/product_main_images/small/16403.jpg","https://www.somogyi.sk/data/img/product_main_images/small/16403.jpg")</f>
        <v>0.0</v>
      </c>
      <c r="F662" s="2" t="inlineStr">
        <is>
          <t>4008496276899</t>
        </is>
      </c>
      <c r="G662" s="4" t="inlineStr">
        <is>
          <t xml:space="preserve"> • lítiová: áno 
 • rozmery: gombíková batéria (CR1220) 
 • napätie: 3 V 
 • vyhotovenie: 1 ks / blister</t>
        </is>
      </c>
    </row>
    <row r="663">
      <c r="A663" s="3" t="inlineStr">
        <is>
          <t>Maxell LR20</t>
        </is>
      </c>
      <c r="B663" s="2" t="inlineStr">
        <is>
          <t>D batéria, alkalická, 2 ks / blister</t>
        </is>
      </c>
      <c r="C663" s="1" t="n">
        <v>6.09</v>
      </c>
      <c r="D663" s="7" t="n">
        <f>HYPERLINK("https://www.somogyi.sk/product/d-bateria-alkalicka-2-ks-blister-maxell-lr20-16357","https://www.somogyi.sk/product/d-bateria-alkalicka-2-ks-blister-maxell-lr20-16357")</f>
        <v>0.0</v>
      </c>
      <c r="E663" s="7" t="n">
        <f>HYPERLINK("https://www.somogyi.sk/data/img/product_main_images/small/16357.jpg","https://www.somogyi.sk/data/img/product_main_images/small/16357.jpg")</f>
        <v>0.0</v>
      </c>
      <c r="F663" s="2" t="inlineStr">
        <is>
          <t>4902580161170</t>
        </is>
      </c>
      <c r="G663" s="4" t="inlineStr">
        <is>
          <t xml:space="preserve"> • alkalická: áno 
 • rozmery: batéria (D) 
 • napätie: 1,5 V 
 • vyhotovenie: 2 ks / blister</t>
        </is>
      </c>
    </row>
    <row r="664">
      <c r="A664" s="3" t="inlineStr">
        <is>
          <t>Maxell LR6</t>
        </is>
      </c>
      <c r="B664" s="2" t="inlineStr">
        <is>
          <t>AA batéria, alkalická, 4 ks / blister</t>
        </is>
      </c>
      <c r="C664" s="1" t="n">
        <v>2.09</v>
      </c>
      <c r="D664" s="7" t="n">
        <f>HYPERLINK("https://www.somogyi.sk/product/aa-bateria-alkalicka-4-ks-blister-maxell-lr6-16359","https://www.somogyi.sk/product/aa-bateria-alkalicka-4-ks-blister-maxell-lr6-16359")</f>
        <v>0.0</v>
      </c>
      <c r="E664" s="7" t="n">
        <f>HYPERLINK("https://www.somogyi.sk/data/img/product_main_images/small/16359.jpg","https://www.somogyi.sk/data/img/product_main_images/small/16359.jpg")</f>
        <v>0.0</v>
      </c>
      <c r="F664" s="2" t="inlineStr">
        <is>
          <t>4902580163761</t>
        </is>
      </c>
      <c r="G664" s="4" t="inlineStr">
        <is>
          <t xml:space="preserve"> • alkalická: áno 
 • rozmery: tužková (AA) 
 • napätie: 1,5 V 
 • vyhotovenie: 4 ks / blister</t>
        </is>
      </c>
    </row>
    <row r="665">
      <c r="A665" s="3" t="inlineStr">
        <is>
          <t>Maxell CR2032</t>
        </is>
      </c>
      <c r="B665" s="2" t="inlineStr">
        <is>
          <t>Gombíková batéria, lítiová 3 V</t>
        </is>
      </c>
      <c r="C665" s="1" t="n">
        <v>1.09</v>
      </c>
      <c r="D665" s="7" t="n">
        <f>HYPERLINK("https://www.somogyi.sk/product/gombikova-bateria-litiova-3-v-maxell-cr2032-16365","https://www.somogyi.sk/product/gombikova-bateria-litiova-3-v-maxell-cr2032-16365")</f>
        <v>0.0</v>
      </c>
      <c r="E665" s="7" t="n">
        <f>HYPERLINK("https://www.somogyi.sk/data/img/product_main_images/small/16365.jpg","https://www.somogyi.sk/data/img/product_main_images/small/16365.jpg")</f>
        <v>0.0</v>
      </c>
      <c r="F665" s="2" t="inlineStr">
        <is>
          <t>4902580131258</t>
        </is>
      </c>
      <c r="G665" s="4" t="inlineStr">
        <is>
          <t xml:space="preserve"> • lítiová: áno 
 • rozmery: gombíková batéria (CR2032) 
 • napätie: 3 V 
 • vyhotovenie: 5 ks / blister</t>
        </is>
      </c>
    </row>
    <row r="666">
      <c r="A666" s="3" t="inlineStr">
        <is>
          <t>Maxell CR2025</t>
        </is>
      </c>
      <c r="B666" s="2" t="inlineStr">
        <is>
          <t>Gombíková batéria, lítiová 3 V</t>
        </is>
      </c>
      <c r="C666" s="1" t="n">
        <v>1.09</v>
      </c>
      <c r="D666" s="7" t="n">
        <f>HYPERLINK("https://www.somogyi.sk/product/gombikova-bateria-litiova-3-v-maxell-cr2025-16364","https://www.somogyi.sk/product/gombikova-bateria-litiova-3-v-maxell-cr2025-16364")</f>
        <v>0.0</v>
      </c>
      <c r="E666" s="7" t="n">
        <f>HYPERLINK("https://www.somogyi.sk/data/img/product_main_images/small/16364.jpg","https://www.somogyi.sk/data/img/product_main_images/small/16364.jpg")</f>
        <v>0.0</v>
      </c>
      <c r="F666" s="2" t="inlineStr">
        <is>
          <t>4902580131265</t>
        </is>
      </c>
      <c r="G666" s="4" t="inlineStr">
        <is>
          <t xml:space="preserve"> • lítiová: áno 
 • rozmery: CR2025 
 • napätie: 3 V 
 • vyhotovenie: 5 ks / blister</t>
        </is>
      </c>
    </row>
    <row r="667">
      <c r="A667" s="3" t="inlineStr">
        <is>
          <t>VARTA CR123</t>
        </is>
      </c>
      <c r="B667" s="2" t="inlineStr">
        <is>
          <t>CR123 Varta batéria, lítiová, 3 V</t>
        </is>
      </c>
      <c r="C667" s="1" t="n">
        <v>4.89</v>
      </c>
      <c r="D667" s="7" t="n">
        <f>HYPERLINK("https://www.somogyi.sk/product/cr123-varta-bateria-litiova-3-v-varta-cr123-16410","https://www.somogyi.sk/product/cr123-varta-bateria-litiova-3-v-varta-cr123-16410")</f>
        <v>0.0</v>
      </c>
      <c r="E667" s="7" t="n">
        <f>HYPERLINK("https://www.somogyi.sk/data/img/product_main_images/small/16410.jpg","https://www.somogyi.sk/data/img/product_main_images/small/16410.jpg")</f>
        <v>0.0</v>
      </c>
      <c r="F667" s="2" t="inlineStr">
        <is>
          <t>4008496537280</t>
        </is>
      </c>
      <c r="G667" s="4" t="inlineStr">
        <is>
          <t xml:space="preserve"> • lítiová: áno 
 • rozmery: batéria (CR123) 
 • napätie: 3 V 
 • vyhotovenie: 1 ks / blister</t>
        </is>
      </c>
    </row>
    <row r="668">
      <c r="A668" s="3" t="inlineStr">
        <is>
          <t>LR03 24PK POWER PACK Maxell</t>
        </is>
      </c>
      <c r="B668" s="2" t="inlineStr">
        <is>
          <t>Mikrotužková batéria (AAA), alkalická, 4 x 6 ks</t>
        </is>
      </c>
      <c r="C668" s="1" t="n">
        <v>12.79</v>
      </c>
      <c r="D668" s="7" t="n">
        <f>HYPERLINK("https://www.somogyi.sk/product/mikrotuzkova-bateria-aaa-alkalicka-4-x-6-ks-lr03-24pk-power-pack-maxell-16294","https://www.somogyi.sk/product/mikrotuzkova-bateria-aaa-alkalicka-4-x-6-ks-lr03-24pk-power-pack-maxell-16294")</f>
        <v>0.0</v>
      </c>
      <c r="E668" s="7" t="n">
        <f>HYPERLINK("https://www.somogyi.sk/data/img/product_main_images/small/16294.jpg","https://www.somogyi.sk/data/img/product_main_images/small/16294.jpg")</f>
        <v>0.0</v>
      </c>
      <c r="F668" s="2" t="inlineStr">
        <is>
          <t>4902580748357</t>
        </is>
      </c>
      <c r="G668" s="4" t="inlineStr">
        <is>
          <t xml:space="preserve"> • alkalická: áno 
 • rozmery: AAA 
 • napätie: 1,5 V 
 • vyhotovenie: 24 ks/krabica</t>
        </is>
      </c>
    </row>
    <row r="669">
      <c r="A669" s="3" t="inlineStr">
        <is>
          <t>VARTA 3R12</t>
        </is>
      </c>
      <c r="B669" s="2" t="inlineStr">
        <is>
          <t>3R12 Varta plochá batéria, polotrvalá, 4,5 V</t>
        </is>
      </c>
      <c r="C669" s="1" t="n">
        <v>2.89</v>
      </c>
      <c r="D669" s="7" t="n">
        <f>HYPERLINK("https://www.somogyi.sk/product/3r12-varta-plocha-bateria-polotrvala-4-5-v-varta-3r12-16401","https://www.somogyi.sk/product/3r12-varta-plocha-bateria-polotrvala-4-5-v-varta-3r12-16401")</f>
        <v>0.0</v>
      </c>
      <c r="E669" s="7" t="n">
        <f>HYPERLINK("https://www.somogyi.sk/data/img/product_main_images/small/16401.jpg","https://www.somogyi.sk/data/img/product_main_images/small/16401.jpg")</f>
        <v>0.0</v>
      </c>
      <c r="F669" s="2" t="inlineStr">
        <is>
          <t>4008496556595</t>
        </is>
      </c>
      <c r="G669" s="4" t="inlineStr">
        <is>
          <t xml:space="preserve"> • polotrvalá: áno 
 • napätie: 4,5 V 
 • vyhotovenie: 1 ks / balenie</t>
        </is>
      </c>
    </row>
    <row r="670">
      <c r="A670" s="3" t="inlineStr">
        <is>
          <t>Maxell LR03</t>
        </is>
      </c>
      <c r="B670" s="2" t="inlineStr">
        <is>
          <t>AAA batéria, alkalická, 4 ks / blister</t>
        </is>
      </c>
      <c r="C670" s="1" t="n">
        <v>2.09</v>
      </c>
      <c r="D670" s="7" t="n">
        <f>HYPERLINK("https://www.somogyi.sk/product/aaa-bateria-alkalicka-4-ks-blister-maxell-lr03-16361","https://www.somogyi.sk/product/aaa-bateria-alkalicka-4-ks-blister-maxell-lr03-16361")</f>
        <v>0.0</v>
      </c>
      <c r="E670" s="7" t="n">
        <f>HYPERLINK("https://www.somogyi.sk/data/img/product_main_images/small/16361.jpg","https://www.somogyi.sk/data/img/product_main_images/small/16361.jpg")</f>
        <v>0.0</v>
      </c>
      <c r="F670" s="2" t="inlineStr">
        <is>
          <t>4902580164010</t>
        </is>
      </c>
      <c r="G670" s="4" t="inlineStr">
        <is>
          <t xml:space="preserve"> • alkalická: áno 
 • rozmery: mini tužková batéria (AAA) 
 • napätie: 1,5 V 
 • vyhotovenie: 4 ks / blister</t>
        </is>
      </c>
    </row>
    <row r="671">
      <c r="A671" s="3" t="inlineStr">
        <is>
          <t>VARTA CR2450</t>
        </is>
      </c>
      <c r="B671" s="2" t="inlineStr">
        <is>
          <t>CR2450 Varta 3 V gombíková batéria, lítiová</t>
        </is>
      </c>
      <c r="C671" s="1" t="n">
        <v>4.29</v>
      </c>
      <c r="D671" s="7" t="n">
        <f>HYPERLINK("https://www.somogyi.sk/product/cr2450-varta-3-v-gombikova-bateria-litiova-varta-cr2450-16407","https://www.somogyi.sk/product/cr2450-varta-3-v-gombikova-bateria-litiova-varta-cr2450-16407")</f>
        <v>0.0</v>
      </c>
      <c r="E671" s="7" t="n">
        <f>HYPERLINK("https://www.somogyi.sk/data/img/product_main_images/small/16407.jpg","https://www.somogyi.sk/data/img/product_main_images/small/16407.jpg")</f>
        <v>0.0</v>
      </c>
      <c r="F671" s="2" t="inlineStr">
        <is>
          <t>4008496270972</t>
        </is>
      </c>
      <c r="G671" s="4" t="inlineStr">
        <is>
          <t xml:space="preserve"> • lítiová: áno 
 • rozmery: gombíková batéria (CR2450) 
 • napätie: 3 V 
 • vyhotovenie: 1 ks / blister</t>
        </is>
      </c>
    </row>
    <row r="672">
      <c r="A672" s="3" t="inlineStr">
        <is>
          <t>Maxell LR03 4+2</t>
        </is>
      </c>
      <c r="B672" s="2" t="inlineStr">
        <is>
          <t>AAA batéria, alkalická, 4   2 ks / blister</t>
        </is>
      </c>
      <c r="C672" s="1" t="n">
        <v>3.19</v>
      </c>
      <c r="D672" s="7" t="n">
        <f>HYPERLINK("https://www.somogyi.sk/product/aaa-bateria-alkalicka-4-2-ks-blister-maxell-lr03-4-2-16370","https://www.somogyi.sk/product/aaa-bateria-alkalicka-4-2-ks-blister-maxell-lr03-4-2-16370")</f>
        <v>0.0</v>
      </c>
      <c r="E672" s="7" t="n">
        <f>HYPERLINK("https://www.somogyi.sk/data/img/product_main_images/small/16370.jpg","https://www.somogyi.sk/data/img/product_main_images/small/16370.jpg")</f>
        <v>0.0</v>
      </c>
      <c r="F672" s="2" t="inlineStr">
        <is>
          <t>4902580164461</t>
        </is>
      </c>
      <c r="G672" s="4" t="inlineStr">
        <is>
          <t xml:space="preserve"> • alkalická: áno 
 • rozmery: mini tužková batéria (AAA) 
 • napätie: 1,5 V 
 • vyhotovenie: 6 ks / blister</t>
        </is>
      </c>
    </row>
    <row r="673">
      <c r="A673" s="3" t="inlineStr">
        <is>
          <t>VARTA CR2430</t>
        </is>
      </c>
      <c r="B673" s="2" t="inlineStr">
        <is>
          <t>CR2430 Varta 3 V gombíková batéria, lítiová</t>
        </is>
      </c>
      <c r="C673" s="1" t="n">
        <v>2.29</v>
      </c>
      <c r="D673" s="7" t="n">
        <f>HYPERLINK("https://www.somogyi.sk/product/cr2430-varta-3-v-gombikova-bateria-litiova-varta-cr2430-16406","https://www.somogyi.sk/product/cr2430-varta-3-v-gombikova-bateria-litiova-varta-cr2430-16406")</f>
        <v>0.0</v>
      </c>
      <c r="E673" s="7" t="n">
        <f>HYPERLINK("https://www.somogyi.sk/data/img/product_main_images/small/16406.jpg","https://www.somogyi.sk/data/img/product_main_images/small/16406.jpg")</f>
        <v>0.0</v>
      </c>
      <c r="F673" s="2" t="inlineStr">
        <is>
          <t>4008496276929</t>
        </is>
      </c>
      <c r="G673" s="4" t="inlineStr">
        <is>
          <t xml:space="preserve"> • lítiová: áno 
 • rozmery: gombíková batéria (CR2430) 
 • napätie: 3 V 
 • vyhotovenie: 1 ks / blister</t>
        </is>
      </c>
    </row>
    <row r="674">
      <c r="A674" s="3" t="inlineStr">
        <is>
          <t>Maxell 6LR61</t>
        </is>
      </c>
      <c r="B674" s="2" t="inlineStr">
        <is>
          <t>9 V batéria, alkalická</t>
        </is>
      </c>
      <c r="C674" s="1" t="n">
        <v>2.59</v>
      </c>
      <c r="D674" s="7" t="n">
        <f>HYPERLINK("https://www.somogyi.sk/product/9-v-bateria-alkalicka-maxell-6lr61-16362","https://www.somogyi.sk/product/9-v-bateria-alkalicka-maxell-6lr61-16362")</f>
        <v>0.0</v>
      </c>
      <c r="E674" s="7" t="n">
        <f>HYPERLINK("https://www.somogyi.sk/data/img/product_main_images/small/16362.jpg","https://www.somogyi.sk/data/img/product_main_images/small/16362.jpg")</f>
        <v>0.0</v>
      </c>
      <c r="F674" s="2" t="inlineStr">
        <is>
          <t>4902580150259</t>
        </is>
      </c>
      <c r="G674" s="4" t="inlineStr">
        <is>
          <t xml:space="preserve"> • alkalická: áno 
 • rozmery: 9 V (6LR61) 
 • napätie: 9 V 
 • vyhotovenie: 1 ks / blister</t>
        </is>
      </c>
    </row>
    <row r="675">
      <c r="A675" s="6" t="inlineStr">
        <is>
          <t xml:space="preserve">   Bytové doplnky / Pracovný stolný stojan</t>
        </is>
      </c>
      <c r="B675" s="6" t="inlineStr">
        <is>
          <t/>
        </is>
      </c>
      <c r="C675" s="6" t="inlineStr">
        <is>
          <t/>
        </is>
      </c>
      <c r="D675" s="6" t="inlineStr">
        <is>
          <t/>
        </is>
      </c>
      <c r="E675" s="6" t="inlineStr">
        <is>
          <t/>
        </is>
      </c>
      <c r="F675" s="6" t="inlineStr">
        <is>
          <t/>
        </is>
      </c>
      <c r="G675" s="6" t="inlineStr">
        <is>
          <t/>
        </is>
      </c>
    </row>
    <row r="676">
      <c r="A676" s="3" t="inlineStr">
        <is>
          <t>SST 01</t>
        </is>
      </c>
      <c r="B676" s="2" t="inlineStr">
        <is>
          <t>Pracovný stojan na stôl</t>
        </is>
      </c>
      <c r="C676" s="1" t="n">
        <v>46.99</v>
      </c>
      <c r="D676" s="7" t="n">
        <f>HYPERLINK("https://www.somogyi.sk/product/pracovny-stojan-na-stol-sst-01-17321","https://www.somogyi.sk/product/pracovny-stojan-na-stol-sst-01-17321")</f>
        <v>0.0</v>
      </c>
      <c r="E676" s="7" t="n">
        <f>HYPERLINK("https://www.somogyi.sk/data/img/product_main_images/small/17321.jpg","https://www.somogyi.sk/data/img/product_main_images/small/17321.jpg")</f>
        <v>0.0</v>
      </c>
      <c r="F676" s="2" t="inlineStr">
        <is>
          <t>5999084953430</t>
        </is>
      </c>
      <c r="G676" s="4" t="inlineStr">
        <is>
          <t xml:space="preserve"> • materiál: MDF, oceľ 
 • N/A: 5 nastavení výšky (45/215/265/305/365/405 mm) 
 • zaťažiteľnosť: max. 35 kg</t>
        </is>
      </c>
    </row>
    <row r="677">
      <c r="A677" s="6" t="inlineStr">
        <is>
          <t xml:space="preserve">   Bytové doplnky / TV Box</t>
        </is>
      </c>
      <c r="B677" s="6" t="inlineStr">
        <is>
          <t/>
        </is>
      </c>
      <c r="C677" s="6" t="inlineStr">
        <is>
          <t/>
        </is>
      </c>
      <c r="D677" s="6" t="inlineStr">
        <is>
          <t/>
        </is>
      </c>
      <c r="E677" s="6" t="inlineStr">
        <is>
          <t/>
        </is>
      </c>
      <c r="F677" s="6" t="inlineStr">
        <is>
          <t/>
        </is>
      </c>
      <c r="G677" s="6" t="inlineStr">
        <is>
          <t/>
        </is>
      </c>
    </row>
    <row r="678">
      <c r="A678" s="3" t="inlineStr">
        <is>
          <t>TV SMART BOX</t>
        </is>
      </c>
      <c r="B678" s="2" t="inlineStr">
        <is>
          <t>ANDROID TV BOX</t>
        </is>
      </c>
      <c r="C678" s="1" t="n">
        <v>66.49</v>
      </c>
      <c r="D678" s="7" t="n">
        <f>HYPERLINK("https://www.somogyi.sk/product/android-tv-box-tv-smart-box-17751","https://www.somogyi.sk/product/android-tv-box-tv-smart-box-17751")</f>
        <v>0.0</v>
      </c>
      <c r="E678" s="7" t="n">
        <f>HYPERLINK("https://www.somogyi.sk/data/img/product_main_images/small/17751.jpg","https://www.somogyi.sk/data/img/product_main_images/small/17751.jpg")</f>
        <v>0.0</v>
      </c>
      <c r="F678" s="2" t="inlineStr">
        <is>
          <t>5999084957735</t>
        </is>
      </c>
      <c r="G678" s="4" t="inlineStr">
        <is>
          <t xml:space="preserve"> • wifi: áno (2,4 GHz, 5 GHz) 
 • N/A: High-Speed 4x2GHz processzor, 4 GB RAM / 64 GB ROM 
 • rozlíšenie: 4K UHD 
 • výstup: HDMI, OPTICAL, AV 
 • vstup: ETHERNET / DC IN (5V/2Amax.) 
 •  
 • rozmery: 105 x 105 x 23 mm / 140 g 
 • ďalšie informácie: operačný systém: Android 11, OTA upgrade 
 • N/A: operačný systém: Android 11 (OTA upgrade) 
 • ďalšie informácie: Z dôvodu neustálych zmien zmluvných podmienok jednotlivých poskytovateľov streamingových služieb je dostupnosť streamovacích platforiem na zariadení obmedzená alebo nie je možná. Toto nie je chyba zariadenia!</t>
        </is>
      </c>
    </row>
    <row r="679">
      <c r="A679" s="6" t="inlineStr">
        <is>
          <t xml:space="preserve">   Elektrina / Predlžovací prívod, spojka</t>
        </is>
      </c>
      <c r="B679" s="6" t="inlineStr">
        <is>
          <t/>
        </is>
      </c>
      <c r="C679" s="6" t="inlineStr">
        <is>
          <t/>
        </is>
      </c>
      <c r="D679" s="6" t="inlineStr">
        <is>
          <t/>
        </is>
      </c>
      <c r="E679" s="6" t="inlineStr">
        <is>
          <t/>
        </is>
      </c>
      <c r="F679" s="6" t="inlineStr">
        <is>
          <t/>
        </is>
      </c>
      <c r="G679" s="6" t="inlineStr">
        <is>
          <t/>
        </is>
      </c>
    </row>
    <row r="680">
      <c r="A680" s="3" t="inlineStr">
        <is>
          <t>NV 12-5/WH</t>
        </is>
      </c>
      <c r="B680" s="2" t="inlineStr">
        <is>
          <t>EURO predlžovací prívod, 5 m, biela</t>
        </is>
      </c>
      <c r="C680" s="1" t="n">
        <v>6.69</v>
      </c>
      <c r="D680" s="7" t="n">
        <f>HYPERLINK("https://www.somogyi.sk/product/euro-predlzovaci-privod-5-m-biela-nv-12-5-wh-17570","https://www.somogyi.sk/product/euro-predlzovaci-privod-5-m-biela-nv-12-5-wh-17570")</f>
        <v>0.0</v>
      </c>
      <c r="E680" s="7" t="n">
        <f>HYPERLINK("https://www.somogyi.sk/data/img/product_main_images/small/17570.jpg","https://www.somogyi.sk/data/img/product_main_images/small/17570.jpg")</f>
        <v>0.0</v>
      </c>
      <c r="F680" s="2" t="inlineStr">
        <is>
          <t>5999084955922</t>
        </is>
      </c>
      <c r="G680" s="4" t="inlineStr">
        <is>
          <t xml:space="preserve"> • farba: biela 
 • uzemnenie: nie 
 • typ kábla: H03VVH2-F 2x0,75 mm2 kábel 
 • dĺžka kábla: 5 m 
 • menovité napätie: 250 V~ 
 • menovitý prúd: 2,5 A 
 • menovitý príkon: max. 575 W 
 • počet zásuviek: 1 ks</t>
        </is>
      </c>
    </row>
    <row r="681">
      <c r="A681" s="3" t="inlineStr">
        <is>
          <t>NV 4-20/OR/1,5</t>
        </is>
      </c>
      <c r="B681" s="2" t="inlineStr">
        <is>
          <t>Dvojžilový predlžovací prívod 20 m, 2x1,5 mm2</t>
        </is>
      </c>
      <c r="C681" s="1" t="n">
        <v>18.89</v>
      </c>
      <c r="D681" s="7" t="n">
        <f>HYPERLINK("https://www.somogyi.sk/product/dvojzilovy-predlzovaci-privod-20-m-2x1-5-mm2-nv-4-20-or-1-5-17501","https://www.somogyi.sk/product/dvojzilovy-predlzovaci-privod-20-m-2x1-5-mm2-nv-4-20-or-1-5-17501")</f>
        <v>0.0</v>
      </c>
      <c r="E681" s="7" t="n">
        <f>HYPERLINK("https://www.somogyi.sk/data/img/product_main_images/small/17501.jpg","https://www.somogyi.sk/data/img/product_main_images/small/17501.jpg")</f>
        <v>0.0</v>
      </c>
      <c r="F681" s="2" t="inlineStr">
        <is>
          <t>5999084955236</t>
        </is>
      </c>
      <c r="G681" s="4" t="inlineStr">
        <is>
          <t xml:space="preserve"> • farba: oranžová 
 • uzemnenie: nie 
 • typ kábla: H05VV-F 2 x 1,5 mm² 
 • dĺžka kábla: 20 m 
 • menovité napätie: 250 V~ 
 • menovitý prúd: max. 16 A 
 • menovitý príkon: 3680 W 
 • počet zásuviek: 1 ks</t>
        </is>
      </c>
    </row>
    <row r="682">
      <c r="A682" s="3" t="inlineStr">
        <is>
          <t>NV CR</t>
        </is>
      </c>
      <c r="B682" s="2" t="inlineStr">
        <is>
          <t>Organizér pre káble</t>
        </is>
      </c>
      <c r="C682" s="1" t="n">
        <v>4.59</v>
      </c>
      <c r="D682" s="7" t="n">
        <f>HYPERLINK("https://www.somogyi.sk/product/organizer-pre-kable-nv-cr-17572","https://www.somogyi.sk/product/organizer-pre-kable-nv-cr-17572")</f>
        <v>0.0</v>
      </c>
      <c r="E682" s="7" t="n">
        <f>HYPERLINK("https://www.somogyi.sk/data/img/product_main_images/small/17572.jpg","https://www.somogyi.sk/data/img/product_main_images/small/17572.jpg")</f>
        <v>0.0</v>
      </c>
      <c r="F682" s="2" t="inlineStr">
        <is>
          <t>5999084955946</t>
        </is>
      </c>
      <c r="G682" s="4" t="inlineStr">
        <is>
          <t xml:space="preserve"> • farba: modrá 
 • dĺžka kábla: vhodné na navinutie 30 m predlžovacieho prívodu 
 • rozmery: 35 x 16,5 x 8 cm</t>
        </is>
      </c>
    </row>
    <row r="683">
      <c r="A683" s="3" t="inlineStr">
        <is>
          <t>NV 12-5/BK</t>
        </is>
      </c>
      <c r="B683" s="2" t="inlineStr">
        <is>
          <t>EURO predlžovací prívod, 5 m, čierna</t>
        </is>
      </c>
      <c r="C683" s="1" t="n">
        <v>6.69</v>
      </c>
      <c r="D683" s="7" t="n">
        <f>HYPERLINK("https://www.somogyi.sk/product/euro-predlzovaci-privod-5-m-cierna-nv-12-5-bk-17571","https://www.somogyi.sk/product/euro-predlzovaci-privod-5-m-cierna-nv-12-5-bk-17571")</f>
        <v>0.0</v>
      </c>
      <c r="E683" s="7" t="n">
        <f>HYPERLINK("https://www.somogyi.sk/data/img/product_main_images/small/17571.jpg","https://www.somogyi.sk/data/img/product_main_images/small/17571.jpg")</f>
        <v>0.0</v>
      </c>
      <c r="F683" s="2" t="inlineStr">
        <is>
          <t>5999084955939</t>
        </is>
      </c>
      <c r="G683" s="4" t="inlineStr">
        <is>
          <t xml:space="preserve"> • farba: čierna 
 • uzemnenie: nie 
 • typ kábla: H03VVH2-F 2x0,75 mm2 kábel 
 • dĺžka kábla: 5 m 
 • menovité napätie: 250 V~ 
 • menovitý prúd: 2,5 A 
 • menovitý príkon: max. 575 W 
 • počet zásuviek: 1 ks</t>
        </is>
      </c>
    </row>
    <row r="684">
      <c r="A684" s="6" t="inlineStr">
        <is>
          <t xml:space="preserve">   Elektrina / Zásuvka, rozbočovač</t>
        </is>
      </c>
      <c r="B684" s="6" t="inlineStr">
        <is>
          <t/>
        </is>
      </c>
      <c r="C684" s="6" t="inlineStr">
        <is>
          <t/>
        </is>
      </c>
      <c r="D684" s="6" t="inlineStr">
        <is>
          <t/>
        </is>
      </c>
      <c r="E684" s="6" t="inlineStr">
        <is>
          <t/>
        </is>
      </c>
      <c r="F684" s="6" t="inlineStr">
        <is>
          <t/>
        </is>
      </c>
      <c r="G684" s="6" t="inlineStr">
        <is>
          <t/>
        </is>
      </c>
    </row>
    <row r="685">
      <c r="A685" s="3" t="inlineStr">
        <is>
          <t>NV 24/WH</t>
        </is>
      </c>
      <c r="B685" s="2" t="inlineStr">
        <is>
          <t xml:space="preserve">Sieťový rozbočovač, 4 euro zásuvky </t>
        </is>
      </c>
      <c r="C685" s="1" t="n">
        <v>2.19</v>
      </c>
      <c r="D685" s="7" t="n">
        <f>HYPERLINK("https://www.somogyi.sk/product/sietovy-rozbocovac-4-euro-zasuvky-nv-24-wh-2782","https://www.somogyi.sk/product/sietovy-rozbocovac-4-euro-zasuvky-nv-24-wh-2782")</f>
        <v>0.0</v>
      </c>
      <c r="E685" s="7" t="n">
        <f>HYPERLINK("https://www.somogyi.sk/data/img/product_main_images/small/02782.jpg","https://www.somogyi.sk/data/img/product_main_images/small/02782.jpg")</f>
        <v>0.0</v>
      </c>
      <c r="F685" s="2" t="inlineStr">
        <is>
          <t>5998312731062</t>
        </is>
      </c>
      <c r="G685" s="4" t="inlineStr">
        <is>
          <t xml:space="preserve"> • menovité napätie: 250 V~ 
 • menovitý prúd: 4 x 2,5 A 
 • menovitý príkon: 4 x 500 W 
 • počet zásuviek: 4 ks euro 
 • uzemnenie: nie 
 • vypínač: nie 
 • farba: biela 
 • IP stupeň ochrany: IP20 
 • detská poistka: áno</t>
        </is>
      </c>
    </row>
    <row r="686">
      <c r="A686" s="3" t="inlineStr">
        <is>
          <t>NV 23/WH</t>
        </is>
      </c>
      <c r="B686" s="2" t="inlineStr">
        <is>
          <t xml:space="preserve">Sieťový rozbočovač, 3 euro zásuvky </t>
        </is>
      </c>
      <c r="C686" s="1" t="n">
        <v>1.99</v>
      </c>
      <c r="D686" s="7" t="n">
        <f>HYPERLINK("https://www.somogyi.sk/product/sietovy-rozbocovac-3-euro-zasuvky-nv-23-wh-2781","https://www.somogyi.sk/product/sietovy-rozbocovac-3-euro-zasuvky-nv-23-wh-2781")</f>
        <v>0.0</v>
      </c>
      <c r="E686" s="7" t="n">
        <f>HYPERLINK("https://www.somogyi.sk/data/img/product_main_images/small/02781.jpg","https://www.somogyi.sk/data/img/product_main_images/small/02781.jpg")</f>
        <v>0.0</v>
      </c>
      <c r="F686" s="2" t="inlineStr">
        <is>
          <t>5998312731055</t>
        </is>
      </c>
      <c r="G686" s="4" t="inlineStr">
        <is>
          <t xml:space="preserve"> • menovité napätie: 250 V~ 
 • menovitý prúd: 3 x 2,5 A 
 • menovitý príkon: 3 x 500 W 
 • počet zásuviek: 3 ks euro 
 • uzemnenie: nie 
 • vypínač: nie 
 • farba: biela 
 • IP stupeň ochrany: IP20 
 • detská poistka: áno</t>
        </is>
      </c>
    </row>
    <row r="687">
      <c r="A687" s="3" t="inlineStr">
        <is>
          <t>NV 1/WH</t>
        </is>
      </c>
      <c r="B687" s="2" t="inlineStr">
        <is>
          <t xml:space="preserve">Sieťový rozbočovač, 2 euro zásuvky </t>
        </is>
      </c>
      <c r="C687" s="1" t="n">
        <v>1.39</v>
      </c>
      <c r="D687" s="7" t="n">
        <f>HYPERLINK("https://www.somogyi.sk/product/sietovy-rozbocovac-2-euro-zasuvky-nv-1-wh-1995","https://www.somogyi.sk/product/sietovy-rozbocovac-2-euro-zasuvky-nv-1-wh-1995")</f>
        <v>0.0</v>
      </c>
      <c r="E687" s="7" t="n">
        <f>HYPERLINK("https://www.somogyi.sk/data/img/product_main_images/small/01995.jpg","https://www.somogyi.sk/data/img/product_main_images/small/01995.jpg")</f>
        <v>0.0</v>
      </c>
      <c r="F687" s="2" t="inlineStr">
        <is>
          <t>5998312715512</t>
        </is>
      </c>
      <c r="G687" s="4" t="inlineStr">
        <is>
          <t xml:space="preserve"> • menovité napätie: 250 V~ 
 • menovitý prúd: 2 x 2,5 A 
 • menovitý príkon: 2 x 500 W 
 • počet zásuviek: 2 ks euro 
 • uzemnenie: nie 
 • vypínač: nie 
 • farba: biela 
 • IP stupeň ochrany: IP20 
 • detská poistka: áno</t>
        </is>
      </c>
    </row>
    <row r="688">
      <c r="A688" s="6" t="inlineStr">
        <is>
          <t xml:space="preserve">   Elektrina / Montovateľná zástrčka / zásuvka,  detská poistka do zásuvky</t>
        </is>
      </c>
      <c r="B688" s="6" t="inlineStr">
        <is>
          <t/>
        </is>
      </c>
      <c r="C688" s="6" t="inlineStr">
        <is>
          <t/>
        </is>
      </c>
      <c r="D688" s="6" t="inlineStr">
        <is>
          <t/>
        </is>
      </c>
      <c r="E688" s="6" t="inlineStr">
        <is>
          <t/>
        </is>
      </c>
      <c r="F688" s="6" t="inlineStr">
        <is>
          <t/>
        </is>
      </c>
      <c r="G688" s="6" t="inlineStr">
        <is>
          <t/>
        </is>
      </c>
    </row>
    <row r="689">
      <c r="A689" s="3" t="inlineStr">
        <is>
          <t>NV FP 2</t>
        </is>
      </c>
      <c r="B689" s="2" t="inlineStr">
        <is>
          <t xml:space="preserve">Uzemnená pripojovacia vidlica, extra plochá </t>
        </is>
      </c>
      <c r="C689" s="1" t="n">
        <v>2.59</v>
      </c>
      <c r="D689" s="7" t="n">
        <f>HYPERLINK("https://www.somogyi.sk/product/uzemnena-pripojovacia-vidlica-extra-plocha-nv-fp-2-14330","https://www.somogyi.sk/product/uzemnena-pripojovacia-vidlica-extra-plocha-nv-fp-2-14330")</f>
        <v>0.0</v>
      </c>
      <c r="E689" s="7" t="n">
        <f>HYPERLINK("https://www.somogyi.sk/data/img/product_main_images/small/14330.jpg","https://www.somogyi.sk/data/img/product_main_images/small/14330.jpg")</f>
        <v>0.0</v>
      </c>
      <c r="F689" s="2" t="inlineStr">
        <is>
          <t>5999084923785</t>
        </is>
      </c>
      <c r="G689" s="4" t="inlineStr">
        <is>
          <t xml:space="preserve"> • menovité napätie: 250 V~ 
 • menovitý prúd: 16 A 
 • menovitý príkon: 3500 W 
 • uzemnenie: áno 
 • farba: biela 
 • IP stupeň ochrany: IP20</t>
        </is>
      </c>
    </row>
    <row r="690">
      <c r="A690" s="3" t="inlineStr">
        <is>
          <t>0795S</t>
        </is>
      </c>
      <c r="B690" s="2" t="inlineStr">
        <is>
          <t>Uzemnená zástrčka s podsvieteným spínačom</t>
        </is>
      </c>
      <c r="C690" s="1" t="n">
        <v>4.59</v>
      </c>
      <c r="D690" s="7" t="n">
        <f>HYPERLINK("https://www.somogyi.sk/product/uzemnena-zastrcka-s-podsvietenym-spinacom-0795s-10109","https://www.somogyi.sk/product/uzemnena-zastrcka-s-podsvietenym-spinacom-0795s-10109")</f>
        <v>0.0</v>
      </c>
      <c r="E690" s="7" t="n">
        <f>HYPERLINK("https://www.somogyi.sk/data/img/product_main_images/small/10109.jpg","https://www.somogyi.sk/data/img/product_main_images/small/10109.jpg")</f>
        <v>0.0</v>
      </c>
      <c r="F690" s="2" t="inlineStr">
        <is>
          <t>4004282407959</t>
        </is>
      </c>
      <c r="G690" s="4" t="inlineStr">
        <is>
          <t xml:space="preserve"> • menovité napätie: 250 V~ 
 • menovitý prúd: 16 A 
 • uzemnenie: áno 
 • farba: biela 
 • IP stupeň ochrany: IP 20 
 • vypínač: áno</t>
        </is>
      </c>
    </row>
    <row r="691">
      <c r="A691" s="3" t="inlineStr">
        <is>
          <t>NGD 02</t>
        </is>
      </c>
      <c r="B691" s="2" t="inlineStr">
        <is>
          <t>IP44 uzemnená vidlica s 45° vývodom kábla</t>
        </is>
      </c>
      <c r="C691" s="1" t="n">
        <v>2.19</v>
      </c>
      <c r="D691" s="7" t="n">
        <f>HYPERLINK("https://www.somogyi.sk/product/ip44-uzemnena-vidlica-s-45-vyvodom-kabla-ngd-02-15414","https://www.somogyi.sk/product/ip44-uzemnena-vidlica-s-45-vyvodom-kabla-ngd-02-15414")</f>
        <v>0.0</v>
      </c>
      <c r="E691" s="7" t="n">
        <f>HYPERLINK("https://www.somogyi.sk/data/img/product_main_images/small/15414.jpg","https://www.somogyi.sk/data/img/product_main_images/small/15414.jpg")</f>
        <v>0.0</v>
      </c>
      <c r="F691" s="2" t="inlineStr">
        <is>
          <t>5999084934484</t>
        </is>
      </c>
      <c r="G691" s="4" t="inlineStr">
        <is>
          <t xml:space="preserve"> • menovité napätie: 250 V~ 
 • menovitý prúd: max. 16 A 
 • menovitý príkon: max. 3680 W 
 • uzemnenie: áno 
 • farba: čierna 
 • IP stupeň ochrany: IP20 
 • vývod kábla: 45°</t>
        </is>
      </c>
    </row>
    <row r="692">
      <c r="A692" s="3" t="inlineStr">
        <is>
          <t>NPD 1/WH</t>
        </is>
      </c>
      <c r="B692" s="2" t="inlineStr">
        <is>
          <t>Uzemnená vidlica s bočným vývodom kábla</t>
        </is>
      </c>
      <c r="C692" s="1" t="n">
        <v>1.59</v>
      </c>
      <c r="D692" s="7" t="n">
        <f>HYPERLINK("https://www.somogyi.sk/product/uzemnena-vidlica-s-bocnym-vyvodom-kabla-npd-1-wh-15410","https://www.somogyi.sk/product/uzemnena-vidlica-s-bocnym-vyvodom-kabla-npd-1-wh-15410")</f>
        <v>0.0</v>
      </c>
      <c r="E692" s="7" t="n">
        <f>HYPERLINK("https://www.somogyi.sk/data/img/product_main_images/small/15410.jpg","https://www.somogyi.sk/data/img/product_main_images/small/15410.jpg")</f>
        <v>0.0</v>
      </c>
      <c r="F692" s="2" t="inlineStr">
        <is>
          <t>5999084934446</t>
        </is>
      </c>
      <c r="G692" s="4" t="inlineStr">
        <is>
          <t xml:space="preserve"> • menovité napätie: 250 V~ 
 • menovitý prúd: max. 16 A 
 • menovitý príkon: max. 3680 W 
 • uzemnenie: áno 
 • farba: biela 
 • IP stupeň ochrany: IP20 
 • vývod kábla: bočný</t>
        </is>
      </c>
    </row>
    <row r="693">
      <c r="A693" s="3" t="inlineStr">
        <is>
          <t>NGD 03</t>
        </is>
      </c>
      <c r="B693" s="2" t="inlineStr">
        <is>
          <t>Uzemnená vidlica voľná, IP44, biela, rovný vývod kábla</t>
        </is>
      </c>
      <c r="C693" s="1" t="n">
        <v>1.99</v>
      </c>
      <c r="D693" s="7" t="n">
        <f>HYPERLINK("https://www.somogyi.sk/product/uzemnena-vidlica-volna-ip44-biela-rovny-vyvod-kabla-ngd-03-15858","https://www.somogyi.sk/product/uzemnena-vidlica-volna-ip44-biela-rovny-vyvod-kabla-ngd-03-15858")</f>
        <v>0.0</v>
      </c>
      <c r="E693" s="7" t="n">
        <f>HYPERLINK("https://www.somogyi.sk/data/img/product_main_images/small/15858.jpg","https://www.somogyi.sk/data/img/product_main_images/small/15858.jpg")</f>
        <v>0.0</v>
      </c>
      <c r="F693" s="2" t="inlineStr">
        <is>
          <t>5999084938925</t>
        </is>
      </c>
      <c r="G693" s="4" t="inlineStr">
        <is>
          <t xml:space="preserve"> • menovité napätie: 250 V~ 
 • menovitý prúd: max. 16 A 
 • menovitý príkon: max. 3680 W 
 • uzemnenie: áno 
 • farba: biela 
 • IP stupeň ochrany: IP44 
 • vývod kábla: rovný</t>
        </is>
      </c>
    </row>
    <row r="694">
      <c r="A694" s="3" t="inlineStr">
        <is>
          <t>NED 1/WH</t>
        </is>
      </c>
      <c r="B694" s="2" t="inlineStr">
        <is>
          <t>Uzemnená vidlica s rovným vývodom kábla, biela</t>
        </is>
      </c>
      <c r="C694" s="1" t="n">
        <v>1.59</v>
      </c>
      <c r="D694" s="7" t="n">
        <f>HYPERLINK("https://www.somogyi.sk/product/uzemnena-vidlica-s-rovnym-vyvodom-kabla-biela-ned-1-wh-15411","https://www.somogyi.sk/product/uzemnena-vidlica-s-rovnym-vyvodom-kabla-biela-ned-1-wh-15411")</f>
        <v>0.0</v>
      </c>
      <c r="E694" s="7" t="n">
        <f>HYPERLINK("https://www.somogyi.sk/data/img/product_main_images/small/15411.jpg","https://www.somogyi.sk/data/img/product_main_images/small/15411.jpg")</f>
        <v>0.0</v>
      </c>
      <c r="F694" s="2" t="inlineStr">
        <is>
          <t>5999084934453</t>
        </is>
      </c>
      <c r="G694" s="4" t="inlineStr">
        <is>
          <t xml:space="preserve"> • menovité napätie: 250 V~ 
 • menovitý prúd: max. 16 A 
 • menovitý príkon: max. 3680 W 
 • uzemnenie: áno 
 • farba: biela 
 • IP stupeň ochrany: IP20 
 • vývod kábla: rovný</t>
        </is>
      </c>
    </row>
    <row r="695">
      <c r="A695" s="6" t="inlineStr">
        <is>
          <t xml:space="preserve">   Elektrina / Sieťový kábel, prípojka</t>
        </is>
      </c>
      <c r="B695" s="6" t="inlineStr">
        <is>
          <t/>
        </is>
      </c>
      <c r="C695" s="6" t="inlineStr">
        <is>
          <t/>
        </is>
      </c>
      <c r="D695" s="6" t="inlineStr">
        <is>
          <t/>
        </is>
      </c>
      <c r="E695" s="6" t="inlineStr">
        <is>
          <t/>
        </is>
      </c>
      <c r="F695" s="6" t="inlineStr">
        <is>
          <t/>
        </is>
      </c>
      <c r="G695" s="6" t="inlineStr">
        <is>
          <t/>
        </is>
      </c>
    </row>
    <row r="696">
      <c r="A696" s="3" t="inlineStr">
        <is>
          <t>N 1-2WH/VDE</t>
        </is>
      </c>
      <c r="B696" s="2" t="inlineStr">
        <is>
          <t>Sieťový prepojovací kábel  (2x0,75 mm2)</t>
        </is>
      </c>
      <c r="C696" s="1" t="n">
        <v>3.09</v>
      </c>
      <c r="D696" s="7" t="n">
        <f>HYPERLINK("https://www.somogyi.sk/product/sietovy-prepojovaci-kabel-2x0-75-mm2-n-1-2wh-vde-14920","https://www.somogyi.sk/product/sietovy-prepojovaci-kabel-2x0-75-mm2-n-1-2wh-vde-14920")</f>
        <v>0.0</v>
      </c>
      <c r="E696" s="7" t="n">
        <f>HYPERLINK("https://www.somogyi.sk/data/img/product_main_images/small/14920.jpg","https://www.somogyi.sk/data/img/product_main_images/small/14920.jpg")</f>
        <v>0.0</v>
      </c>
      <c r="F696" s="2" t="inlineStr">
        <is>
          <t>2221295500039</t>
        </is>
      </c>
      <c r="G696" s="4" t="inlineStr">
        <is>
          <t xml:space="preserve"> • napätie: 250 V~ 
 • zaťažiteľnosť: 2,5 A / 500 W 
 • kábel: 2 x 0,75 mm² 
 • dĺžka kábla: 2 m 
 • prípojky: euro / 2-pólová</t>
        </is>
      </c>
    </row>
    <row r="697">
      <c r="A697" s="3" t="inlineStr">
        <is>
          <t>N 8-3/1,5</t>
        </is>
      </c>
      <c r="B697" s="2" t="inlineStr">
        <is>
          <t>Sieťový pripojovací kábel, 3x1,5, 3m</t>
        </is>
      </c>
      <c r="C697" s="1" t="n">
        <v>10.19</v>
      </c>
      <c r="D697" s="7" t="n">
        <f>HYPERLINK("https://www.somogyi.sk/product/sietovy-pripojovaci-kabel-3x1-5-3m-n-8-3-1-5-9806","https://www.somogyi.sk/product/sietovy-pripojovaci-kabel-3x1-5-3m-n-8-3-1-5-9806")</f>
        <v>0.0</v>
      </c>
      <c r="E697" s="7" t="n">
        <f>HYPERLINK("https://www.somogyi.sk/data/img/product_main_images/small/09806.jpg","https://www.somogyi.sk/data/img/product_main_images/small/09806.jpg")</f>
        <v>0.0</v>
      </c>
      <c r="F697" s="2" t="inlineStr">
        <is>
          <t>5998312785324</t>
        </is>
      </c>
      <c r="G697" s="4" t="inlineStr">
        <is>
          <t xml:space="preserve"> • napätie: 250 V~ 
 • zaťažiteľnosť: 16 A / 3680 W 
 • kábel: H05RR-F 3 x 1,5 mm² 
 • dĺžka kábla: 3 m 
 • ďalšie informácie: IP44 
 • prípojky: GS / s pocínovaným koncom 
 • s ochranným kontaktom: áno</t>
        </is>
      </c>
    </row>
    <row r="698">
      <c r="A698" s="3" t="inlineStr">
        <is>
          <t>N 5X</t>
        </is>
      </c>
      <c r="B698" s="2" t="inlineStr">
        <is>
          <t>Sieťový pripojovací kábel PC, 3x0,75, 2m, blister</t>
        </is>
      </c>
      <c r="C698" s="1" t="n">
        <v>5.59</v>
      </c>
      <c r="D698" s="7" t="n">
        <f>HYPERLINK("https://www.somogyi.sk/product/sietovy-pripojovaci-kabel-pc-3x0-75-2m-blister-n-5x-2175","https://www.somogyi.sk/product/sietovy-pripojovaci-kabel-pc-3x0-75-2m-blister-n-5x-2175")</f>
        <v>0.0</v>
      </c>
      <c r="E698" s="7" t="n">
        <f>HYPERLINK("https://www.somogyi.sk/data/img/product_main_images/small/02175.jpg","https://www.somogyi.sk/data/img/product_main_images/small/02175.jpg")</f>
        <v>0.0</v>
      </c>
      <c r="F698" s="2" t="inlineStr">
        <is>
          <t>5998312724408</t>
        </is>
      </c>
      <c r="G698" s="4" t="inlineStr">
        <is>
          <t xml:space="preserve"> • napätie: 250 V~ 
 • zaťažiteľnosť: 10 A / 2300 W 
 • kábel: 3 x 0,75 mm² 
 • dĺžka kábla: 2 m 
 • prípojky: GS / 3 pólová 
 • s ochranným kontaktom: áno 
 • blister: áno</t>
        </is>
      </c>
    </row>
    <row r="699">
      <c r="A699" s="3" t="inlineStr">
        <is>
          <t>AC 1A</t>
        </is>
      </c>
      <c r="B699" s="2" t="inlineStr">
        <is>
          <t>AC zásuvka, 3 pólová</t>
        </is>
      </c>
      <c r="C699" s="1" t="n">
        <v>1.89</v>
      </c>
      <c r="D699" s="7" t="n">
        <f>HYPERLINK("https://www.somogyi.sk/product/ac-zasuvka-3-polova-ac-1a-1702","https://www.somogyi.sk/product/ac-zasuvka-3-polova-ac-1a-1702")</f>
        <v>0.0</v>
      </c>
      <c r="E699" s="7" t="n">
        <f>HYPERLINK("https://www.somogyi.sk/data/img/product_main_images/small/01702.jpg","https://www.somogyi.sk/data/img/product_main_images/small/01702.jpg")</f>
        <v>0.0</v>
      </c>
      <c r="F699" s="2" t="inlineStr">
        <is>
          <t>5998312700679</t>
        </is>
      </c>
      <c r="G699" s="4" t="inlineStr">
        <is>
          <t xml:space="preserve"> • napätie: 250 V~ 
 • prípojky: skrutkovateľná 
 • s ochranným kontaktom: áno</t>
        </is>
      </c>
    </row>
    <row r="700">
      <c r="A700" s="3" t="inlineStr">
        <is>
          <t>N 10-5/1,0</t>
        </is>
      </c>
      <c r="B700" s="2" t="inlineStr">
        <is>
          <t>Sieťový pripojovací kábel, 2x1, 5m</t>
        </is>
      </c>
      <c r="C700" s="1" t="n">
        <v>8.59</v>
      </c>
      <c r="D700" s="7" t="n">
        <f>HYPERLINK("https://www.somogyi.sk/product/sietovy-pripojovaci-kabel-2x1-5m-n-10-5-1-0-9811","https://www.somogyi.sk/product/sietovy-pripojovaci-kabel-2x1-5m-n-10-5-1-0-9811")</f>
        <v>0.0</v>
      </c>
      <c r="E700" s="7" t="n">
        <f>HYPERLINK("https://www.somogyi.sk/data/img/product_main_images/small/09811.jpg","https://www.somogyi.sk/data/img/product_main_images/small/09811.jpg")</f>
        <v>0.0</v>
      </c>
      <c r="F700" s="2" t="inlineStr">
        <is>
          <t>5998312785379</t>
        </is>
      </c>
      <c r="G700" s="4" t="inlineStr">
        <is>
          <t xml:space="preserve"> • napätie: 250 V~ 
 • zaťažiteľnosť: 10 A / 2300 W 
 • kábel: H05RN-F 2 x 1 mm² 
 • dĺžka kábla: 5 m 
 • ďalšie informácie: IP44 
 • prípojky: GS / s pocínovaným koncom</t>
        </is>
      </c>
    </row>
    <row r="701">
      <c r="A701" s="3" t="inlineStr">
        <is>
          <t>N 10-3/1,0</t>
        </is>
      </c>
      <c r="B701" s="2" t="inlineStr">
        <is>
          <t>Sieťový pripojovací kábel, 2x1, 3m</t>
        </is>
      </c>
      <c r="C701" s="1" t="n">
        <v>5.59</v>
      </c>
      <c r="D701" s="7" t="n">
        <f>HYPERLINK("https://www.somogyi.sk/product/sietovy-pripojovaci-kabel-2x1-3m-n-10-3-1-0-9810","https://www.somogyi.sk/product/sietovy-pripojovaci-kabel-2x1-3m-n-10-3-1-0-9810")</f>
        <v>0.0</v>
      </c>
      <c r="E701" s="7" t="n">
        <f>HYPERLINK("https://www.somogyi.sk/data/img/product_main_images/small/09810.jpg","https://www.somogyi.sk/data/img/product_main_images/small/09810.jpg")</f>
        <v>0.0</v>
      </c>
      <c r="F701" s="2" t="inlineStr">
        <is>
          <t>5998312785362</t>
        </is>
      </c>
      <c r="G701" s="4" t="inlineStr">
        <is>
          <t xml:space="preserve"> • napätie: 250 V~ 
 • zaťažiteľnosť: 10 A / 2300 W 
 • kábel: H05RN-F 2 x 1 mm² 
 • dĺžka kábla: 3 m 
 • ďalšie informácie: IP44 
 • prípojky: GS / s pocínovaným koncom</t>
        </is>
      </c>
    </row>
    <row r="702">
      <c r="A702" s="3" t="inlineStr">
        <is>
          <t>N 2/VDE</t>
        </is>
      </c>
      <c r="B702" s="2" t="inlineStr">
        <is>
          <t>Sieťový pripojovací kábel, 2x0,75, 1,5m, pocínované koncovky</t>
        </is>
      </c>
      <c r="C702" s="1" t="n">
        <v>2.29</v>
      </c>
      <c r="D702" s="7" t="n">
        <f>HYPERLINK("https://www.somogyi.sk/product/sietovy-pripojovaci-kabel-2x0-75-1-5m-pocinovane-koncovky-n-2-vde-2141","https://www.somogyi.sk/product/sietovy-pripojovaci-kabel-2x0-75-1-5m-pocinovane-koncovky-n-2-vde-2141")</f>
        <v>0.0</v>
      </c>
      <c r="E702" s="7" t="n">
        <f>HYPERLINK("https://www.somogyi.sk/data/img/product_main_images/small/02141.jpg","https://www.somogyi.sk/data/img/product_main_images/small/02141.jpg")</f>
        <v>0.0</v>
      </c>
      <c r="F702" s="2" t="inlineStr">
        <is>
          <t>5998312724019</t>
        </is>
      </c>
      <c r="G702" s="4" t="inlineStr">
        <is>
          <t xml:space="preserve"> • napätie: 250 V~ 
 • zaťažiteľnosť: 2,5 A / 500 W 
 • kábel: 2 x 0,75 mm² 
 • dĺžka kábla: 1,5 m 
 • prípojky: euro / s pocínovaným koncom</t>
        </is>
      </c>
    </row>
    <row r="703">
      <c r="A703" s="3" t="inlineStr">
        <is>
          <t>AC 1D</t>
        </is>
      </c>
      <c r="B703" s="2" t="inlineStr">
        <is>
          <t>AC vidlica, 3 pólová</t>
        </is>
      </c>
      <c r="C703" s="1" t="n">
        <v>1.89</v>
      </c>
      <c r="D703" s="7" t="n">
        <f>HYPERLINK("https://www.somogyi.sk/product/ac-vidlica-3-polova-ac-1d-1703","https://www.somogyi.sk/product/ac-vidlica-3-polova-ac-1d-1703")</f>
        <v>0.0</v>
      </c>
      <c r="E703" s="7" t="n">
        <f>HYPERLINK("https://www.somogyi.sk/data/img/product_main_images/small/01703.jpg","https://www.somogyi.sk/data/img/product_main_images/small/01703.jpg")</f>
        <v>0.0</v>
      </c>
      <c r="F703" s="2" t="inlineStr">
        <is>
          <t>5998312700686</t>
        </is>
      </c>
      <c r="G703" s="4" t="inlineStr">
        <is>
          <t xml:space="preserve"> • napätie: 250 V~ 
 • zaťažiteľnosť: 10 A / 2300 W 
 • prípojky: skrutkovateľná 
 • s ochranným kontaktom: áno</t>
        </is>
      </c>
    </row>
    <row r="704">
      <c r="A704" s="3" t="inlineStr">
        <is>
          <t>N 2K-2/WH</t>
        </is>
      </c>
      <c r="B704" s="2" t="inlineStr">
        <is>
          <t>Sieťový napájací prívod so spínačom, 2x0,75, 2m, pocínované koncovky</t>
        </is>
      </c>
      <c r="C704" s="1" t="n">
        <v>3.79</v>
      </c>
      <c r="D704" s="7" t="n">
        <f>HYPERLINK("https://www.somogyi.sk/product/sietovy-napajaci-privod-so-spinacom-2x0-75-2m-pocinovane-koncovky-n-2k-2-wh-9812","https://www.somogyi.sk/product/sietovy-napajaci-privod-so-spinacom-2x0-75-2m-pocinovane-koncovky-n-2k-2-wh-9812")</f>
        <v>0.0</v>
      </c>
      <c r="E704" s="7" t="n">
        <f>HYPERLINK("https://www.somogyi.sk/data/img/product_main_images/small/09812.jpg","https://www.somogyi.sk/data/img/product_main_images/small/09812.jpg")</f>
        <v>0.0</v>
      </c>
      <c r="F704" s="2" t="inlineStr">
        <is>
          <t>5998312785386</t>
        </is>
      </c>
      <c r="G704" s="4" t="inlineStr">
        <is>
          <t xml:space="preserve"> • napätie: 250 V~ 
 • zaťažiteľnosť: 2 A / 460 W 
 • kábel: H03VVH2-F 2 x 0,75 mm² 
 • dĺžka kábla: 2 m (1,5 m + 0,5 m) 
 • ďalšie informácie: s 1-pólovým spínačom 
 • prípojky: euro / s pocínovaným koncom</t>
        </is>
      </c>
    </row>
    <row r="705">
      <c r="A705" s="3" t="inlineStr">
        <is>
          <t>N 5</t>
        </is>
      </c>
      <c r="B705" s="2" t="inlineStr">
        <is>
          <t>Sieťový pripojovací kábel PC, 3x0,75, 2m</t>
        </is>
      </c>
      <c r="C705" s="1" t="n">
        <v>5.39</v>
      </c>
      <c r="D705" s="7" t="n">
        <f>HYPERLINK("https://www.somogyi.sk/product/sietovy-pripojovaci-kabel-pc-3x0-75-2m-n-5-1813","https://www.somogyi.sk/product/sietovy-pripojovaci-kabel-pc-3x0-75-2m-n-5-1813")</f>
        <v>0.0</v>
      </c>
      <c r="E705" s="7" t="n">
        <f>HYPERLINK("https://www.somogyi.sk/data/img/product_main_images/small/01813.jpg","https://www.somogyi.sk/data/img/product_main_images/small/01813.jpg")</f>
        <v>0.0</v>
      </c>
      <c r="F705" s="2" t="inlineStr">
        <is>
          <t>5998312703205</t>
        </is>
      </c>
      <c r="G705" s="4" t="inlineStr">
        <is>
          <t xml:space="preserve"> • napätie: 250 V~ 
 • zaťažiteľnosť: 10 A / 2300 W 
 • kábel: 3 x 0,75 mm² 
 • dĺžka kábla: 2 m 
 • prípojky: GS / 3-pólová 
 • s ochranným kontaktom: áno</t>
        </is>
      </c>
    </row>
    <row r="706">
      <c r="A706" s="3" t="inlineStr">
        <is>
          <t>N 2K-2/BK</t>
        </is>
      </c>
      <c r="B706" s="2" t="inlineStr">
        <is>
          <t>Sieťový kábel so spínačom, 2 m, čierna farba</t>
        </is>
      </c>
      <c r="C706" s="1" t="n">
        <v>3.79</v>
      </c>
      <c r="D706" s="7" t="n">
        <f>HYPERLINK("https://www.somogyi.sk/product/sietovy-kabel-so-spinacom-2-m-cierna-farba-n-2k-2-bk-15829","https://www.somogyi.sk/product/sietovy-kabel-so-spinacom-2-m-cierna-farba-n-2k-2-bk-15829")</f>
        <v>0.0</v>
      </c>
      <c r="E706" s="7" t="n">
        <f>HYPERLINK("https://www.somogyi.sk/data/img/product_main_images/small/15829.jpg","https://www.somogyi.sk/data/img/product_main_images/small/15829.jpg")</f>
        <v>0.0</v>
      </c>
      <c r="F706" s="2" t="inlineStr">
        <is>
          <t>5999084938635</t>
        </is>
      </c>
      <c r="G706" s="4" t="inlineStr">
        <is>
          <t xml:space="preserve"> • napätie: 250 V~ 
 • zaťažiteľnosť: 2 A / 460 W 
 • kábel: H03VVH2-F 2 x 0,75 mm² 
 • dĺžka kábla: 2 m (1,5 m   0,5 m) 
 • ďalšie informácie: s jednopólovým spínačom, čierna 
 • prípojky: euro / pocínovaná koncovka</t>
        </is>
      </c>
    </row>
    <row r="707">
      <c r="A707" s="3" t="inlineStr">
        <is>
          <t>N 1/VDE</t>
        </is>
      </c>
      <c r="B707" s="2" t="inlineStr">
        <is>
          <t>Sieťový pripojovací kábel, 2x0,75, 1,5m</t>
        </is>
      </c>
      <c r="C707" s="1" t="n">
        <v>2.79</v>
      </c>
      <c r="D707" s="7" t="n">
        <f>HYPERLINK("https://www.somogyi.sk/product/sietovy-pripojovaci-kabel-2x0-75-1-5m-n-1-vde-2630","https://www.somogyi.sk/product/sietovy-pripojovaci-kabel-2x0-75-1-5m-n-1-vde-2630")</f>
        <v>0.0</v>
      </c>
      <c r="E707" s="7" t="n">
        <f>HYPERLINK("https://www.somogyi.sk/data/img/product_main_images/small/02630.jpg","https://www.somogyi.sk/data/img/product_main_images/small/02630.jpg")</f>
        <v>0.0</v>
      </c>
      <c r="F707" s="2" t="inlineStr">
        <is>
          <t>5998312729458</t>
        </is>
      </c>
      <c r="G707" s="4" t="inlineStr">
        <is>
          <t xml:space="preserve"> • napätie: 250 V~ 
 • zaťažiteľnosť: 2,5 A / 500 W 
 • kábel: 2 x 0,75 mm² 
 • dĺžka kábla: 1,5 m 
 • prípojky: euro /2-pólová</t>
        </is>
      </c>
    </row>
    <row r="708">
      <c r="A708" s="3" t="inlineStr">
        <is>
          <t>N 8-5/1,5</t>
        </is>
      </c>
      <c r="B708" s="2" t="inlineStr">
        <is>
          <t>Sieťový pripojovací kábel, 3x1,5, 5m</t>
        </is>
      </c>
      <c r="C708" s="1" t="n">
        <v>15.09</v>
      </c>
      <c r="D708" s="7" t="n">
        <f>HYPERLINK("https://www.somogyi.sk/product/sietovy-pripojovaci-kabel-3x1-5-5m-n-8-5-1-5-9807","https://www.somogyi.sk/product/sietovy-pripojovaci-kabel-3x1-5-5m-n-8-5-1-5-9807")</f>
        <v>0.0</v>
      </c>
      <c r="E708" s="7" t="n">
        <f>HYPERLINK("https://www.somogyi.sk/data/img/product_main_images/small/09807.jpg","https://www.somogyi.sk/data/img/product_main_images/small/09807.jpg")</f>
        <v>0.0</v>
      </c>
      <c r="F708" s="2" t="inlineStr">
        <is>
          <t>5998312785331</t>
        </is>
      </c>
      <c r="G708" s="4" t="inlineStr">
        <is>
          <t xml:space="preserve"> • napätie: 250 V~ 
 • zaťažiteľnosť: 16 A / 3680 W 
 • kábel: H05RR-F 3 x 1,5 mm² 
 • dĺžka kábla: 5 m 
 • ďalšie informácie: IP44 
 • prípojky: GS / s pocínovaným koncom 
 • s ochranným kontaktom: áno</t>
        </is>
      </c>
    </row>
    <row r="709">
      <c r="A709" s="3" t="inlineStr">
        <is>
          <t>AC 2D</t>
        </is>
      </c>
      <c r="B709" s="2" t="inlineStr">
        <is>
          <t>AC zabudovateľná vidlica, 3 pólová</t>
        </is>
      </c>
      <c r="C709" s="1" t="n">
        <v>1.09</v>
      </c>
      <c r="D709" s="7" t="n">
        <f>HYPERLINK("https://www.somogyi.sk/product/ac-zabudovatelna-vidlica-3-polova-ac-2d-1707","https://www.somogyi.sk/product/ac-zabudovatelna-vidlica-3-polova-ac-2d-1707")</f>
        <v>0.0</v>
      </c>
      <c r="E709" s="7" t="n">
        <f>HYPERLINK("https://www.somogyi.sk/data/img/product_main_images/small/01707.jpg","https://www.somogyi.sk/data/img/product_main_images/small/01707.jpg")</f>
        <v>0.0</v>
      </c>
      <c r="F709" s="2" t="inlineStr">
        <is>
          <t>5998312700754</t>
        </is>
      </c>
      <c r="G709" s="4" t="inlineStr">
        <is>
          <t xml:space="preserve"> • napätie: 250 V~ 
 • prípojky: spájkovateľná 
 • s ochranným kontaktom: áno</t>
        </is>
      </c>
    </row>
    <row r="710">
      <c r="A710" s="3" t="inlineStr">
        <is>
          <t>N 1X</t>
        </is>
      </c>
      <c r="B710" s="2" t="inlineStr">
        <is>
          <t>Sieťový pripojovací kábel, 2x0,75, 1,5m, blister</t>
        </is>
      </c>
      <c r="C710" s="1" t="n">
        <v>3.09</v>
      </c>
      <c r="D710" s="7" t="n">
        <f>HYPERLINK("https://www.somogyi.sk/product/sietovy-pripojovaci-kabel-2x0-75-1-5m-blister-n-1x-2173","https://www.somogyi.sk/product/sietovy-pripojovaci-kabel-2x0-75-1-5m-blister-n-1x-2173")</f>
        <v>0.0</v>
      </c>
      <c r="E710" s="7" t="n">
        <f>HYPERLINK("https://www.somogyi.sk/data/img/product_main_images/small/02173.jpg","https://www.somogyi.sk/data/img/product_main_images/small/02173.jpg")</f>
        <v>0.0</v>
      </c>
      <c r="F710" s="2" t="inlineStr">
        <is>
          <t>5998312724385</t>
        </is>
      </c>
      <c r="G710" s="4" t="inlineStr">
        <is>
          <t xml:space="preserve"> • napätie: 250 V~ 
 • zaťažiteľnosť: 2,5 A / 500 W 
 • kábel: 2 x 0,75 mm² 
 • dĺžka kábla: 1,5 m 
 • prípojky: euro / 2-pólová 
 • blister: áno</t>
        </is>
      </c>
    </row>
    <row r="711">
      <c r="A711" s="3" t="inlineStr">
        <is>
          <t>N 11/VDE</t>
        </is>
      </c>
      <c r="B711" s="2" t="inlineStr">
        <is>
          <t>Sieťový pripojovací kábel, 2x0,5, 1,5m</t>
        </is>
      </c>
      <c r="C711" s="1" t="n">
        <v>2.39</v>
      </c>
      <c r="D711" s="7" t="n">
        <f>HYPERLINK("https://www.somogyi.sk/product/sietovy-pripojovaci-kabel-2x0-5-1-5m-n-11-vde-3139","https://www.somogyi.sk/product/sietovy-pripojovaci-kabel-2x0-5-1-5m-n-11-vde-3139")</f>
        <v>0.0</v>
      </c>
      <c r="E711" s="7" t="n">
        <f>HYPERLINK("https://www.somogyi.sk/data/img/product_main_images/small/03139.jpg","https://www.somogyi.sk/data/img/product_main_images/small/03139.jpg")</f>
        <v>0.0</v>
      </c>
      <c r="F711" s="2" t="inlineStr">
        <is>
          <t>5998312734636</t>
        </is>
      </c>
      <c r="G711" s="4" t="inlineStr">
        <is>
          <t xml:space="preserve"> • napätie: 250 V~ 
 • zaťažiteľnosť: 2,5 A / 500 W 
 • kábel: 2 x 0,5 mm² 
 • dĺžka kábla: 1,5 m 
 • prípojky: euro / 2-pólová</t>
        </is>
      </c>
    </row>
    <row r="712">
      <c r="A712" s="6" t="inlineStr">
        <is>
          <t xml:space="preserve">   Elektrina / Zásuvka s diaľkovým ovládaním</t>
        </is>
      </c>
      <c r="B712" s="6" t="inlineStr">
        <is>
          <t/>
        </is>
      </c>
      <c r="C712" s="6" t="inlineStr">
        <is>
          <t/>
        </is>
      </c>
      <c r="D712" s="6" t="inlineStr">
        <is>
          <t/>
        </is>
      </c>
      <c r="E712" s="6" t="inlineStr">
        <is>
          <t/>
        </is>
      </c>
      <c r="F712" s="6" t="inlineStr">
        <is>
          <t/>
        </is>
      </c>
      <c r="G712" s="6" t="inlineStr">
        <is>
          <t/>
        </is>
      </c>
    </row>
    <row r="713">
      <c r="A713" s="3" t="inlineStr">
        <is>
          <t>THF2311</t>
        </is>
      </c>
      <c r="B713" s="2" t="inlineStr">
        <is>
          <t>Sada diaľkovo ovládanej mini sieťovej zásuvky,  2300 W, zásuvka   diaľkový ovládač</t>
        </is>
      </c>
      <c r="C713" s="1" t="n">
        <v>15.59</v>
      </c>
      <c r="D713" s="7" t="n">
        <f>HYPERLINK("https://www.somogyi.sk/product/sada-dialkovo-ovladanej-mini-sietovej-zasuvky-2300-w-zasuvka-dialkovy-ovladac-thf2311-18514","https://www.somogyi.sk/product/sada-dialkovo-ovladanej-mini-sietovej-zasuvky-2300-w-zasuvka-dialkovy-ovladac-thf2311-18514")</f>
        <v>0.0</v>
      </c>
      <c r="E713" s="7" t="n">
        <f>HYPERLINK("https://www.somogyi.sk/data/img/product_main_images/small/18514.jpg","https://www.somogyi.sk/data/img/product_main_images/small/18514.jpg")</f>
        <v>0.0</v>
      </c>
      <c r="F713" s="2" t="inlineStr">
        <is>
          <t>5999084965327</t>
        </is>
      </c>
      <c r="G713" s="4" t="inlineStr">
        <is>
          <t xml:space="preserve"> • diaľkovo ovládaná mini sieťová zásuvka s diaľkovým ovládačom  
 • dosah na otvorenom teréne: 40 m  
 • rádiové spojenie: 433,92 MHz  
 • len na vnútorné použitie  
 • ľahko naučiteľná zásuvka  
 • jeden diaľkový ovládač môže ovládať 3 skupiny zásuviek (A, B, C)  
 • tlačidlá ALL ON/OFF na súčasné ovládanie všetkých zásuviek 
 • LED kontrolka  
 • napájanie diaľkového ovládača: 1 x CR2032 (3 V) batéria, je príslušenstvom 
 • 230 V~ / 50 Hz / max. 10 A / max. 2300 W</t>
        </is>
      </c>
    </row>
    <row r="714">
      <c r="A714" s="3" t="inlineStr">
        <is>
          <t>NVKP 01</t>
        </is>
      </c>
      <c r="B714" s="2" t="inlineStr">
        <is>
          <t>Náhradný diaľkový spínač</t>
        </is>
      </c>
      <c r="C714" s="1" t="n">
        <v>10.59</v>
      </c>
      <c r="D714" s="7" t="n">
        <f>HYPERLINK("https://www.somogyi.sk/product/nahradny-dialkovy-spinac-nvkp-01-18050","https://www.somogyi.sk/product/nahradny-dialkovy-spinac-nvkp-01-18050")</f>
        <v>0.0</v>
      </c>
      <c r="E714" s="7" t="n">
        <f>HYPERLINK("https://www.somogyi.sk/data/img/product_main_images/small/18050.jpg","https://www.somogyi.sk/data/img/product_main_images/small/18050.jpg")</f>
        <v>0.0</v>
      </c>
      <c r="F714" s="2" t="inlineStr">
        <is>
          <t>5999084960728</t>
        </is>
      </c>
      <c r="G714" s="4" t="inlineStr">
        <is>
          <t xml:space="preserve"> • dosah na otvorenom teréne: ~120 m 
 • prevádzková frekvencia: 433,92 MHz 
 • kompatibilita: DBK 1200AC, DBKS 1200AC, NVK SWITCH, NVK 3 SWITCH 
 •  
 • rozmery: 50 x 82 x 22 mm</t>
        </is>
      </c>
    </row>
    <row r="715">
      <c r="A715" s="6" t="inlineStr">
        <is>
          <t xml:space="preserve">   Elektrina / Predlžovací kábel na bubne s francúzskou zásuvkou</t>
        </is>
      </c>
      <c r="B715" s="6" t="inlineStr">
        <is>
          <t/>
        </is>
      </c>
      <c r="C715" s="6" t="inlineStr">
        <is>
          <t/>
        </is>
      </c>
      <c r="D715" s="6" t="inlineStr">
        <is>
          <t/>
        </is>
      </c>
      <c r="E715" s="6" t="inlineStr">
        <is>
          <t/>
        </is>
      </c>
      <c r="F715" s="6" t="inlineStr">
        <is>
          <t/>
        </is>
      </c>
      <c r="G715" s="6" t="inlineStr">
        <is>
          <t/>
        </is>
      </c>
    </row>
    <row r="716">
      <c r="A716" s="3" t="inlineStr">
        <is>
          <t>HJRF 4-40/1,5</t>
        </is>
      </c>
      <c r="B716" s="2" t="inlineStr">
        <is>
          <t>Predlžovací kábel na bubne, kovový podstavec, 4 uzemnené zásuvky, 40m, 3x1,5nmm, francúzska n.</t>
        </is>
      </c>
      <c r="C716" s="1" t="n">
        <v>78.09</v>
      </c>
      <c r="D716" s="7" t="n">
        <f>HYPERLINK("https://www.somogyi.sk/product/predlzovaci-kabel-na-bubne-kovovy-podstavec-4-uzemnene-zasuvky-40m-3x1-5nmm-francuzska-n-hjrf-4-40-1-5-6338","https://www.somogyi.sk/product/predlzovaci-kabel-na-bubne-kovovy-podstavec-4-uzemnene-zasuvky-40m-3x1-5nmm-francuzska-n-hjrf-4-40-1-5-6338")</f>
        <v>0.0</v>
      </c>
      <c r="E716" s="7" t="n">
        <f>HYPERLINK("https://www.somogyi.sk/data/img/product_main_images/small/06338.jpg","https://www.somogyi.sk/data/img/product_main_images/small/06338.jpg")</f>
        <v>0.0</v>
      </c>
      <c r="F716" s="2" t="inlineStr">
        <is>
          <t>5998312753842</t>
        </is>
      </c>
      <c r="G716" s="4" t="inlineStr">
        <is>
          <t xml:space="preserve"> • typ kábla: H05VV-F 3G 1,5  mm² 
 • dĺžka kábla: 40 m 
 • zapnutie tepelnej poistky: áno 
 • detská poistka: áno 
 • výkon v navinutom stave: 250 V~ / max. 1000 W 
 • výkon v rozvinutom stave: 250 V~ / max. 3000 W 
 • počet zásuviek: 4 
 • farba: oranžová 
 • IP stupeň ochrany: IP20</t>
        </is>
      </c>
    </row>
    <row r="717">
      <c r="A717" s="3" t="inlineStr">
        <is>
          <t>HJRF 4-50/1,5</t>
        </is>
      </c>
      <c r="B717" s="2" t="inlineStr">
        <is>
          <t>Predlžovací kábel na bubne, kovový podstavec, 4 uzemnené zásuvky, 50 m, 3 x1,5 nmm, francúzska n.</t>
        </is>
      </c>
      <c r="C717" s="1" t="n">
        <v>99.99</v>
      </c>
      <c r="D717" s="7" t="n">
        <f>HYPERLINK("https://www.somogyi.sk/product/predlzovaci-kabel-na-bubne-kovovy-podstavec-4-uzemnene-zasuvky-50-m-3-x1-5-nmm-francuzska-n-hjrf-4-50-1-5-6340","https://www.somogyi.sk/product/predlzovaci-kabel-na-bubne-kovovy-podstavec-4-uzemnene-zasuvky-50-m-3-x1-5-nmm-francuzska-n-hjrf-4-50-1-5-6340")</f>
        <v>0.0</v>
      </c>
      <c r="E717" s="7" t="n">
        <f>HYPERLINK("https://www.somogyi.sk/data/img/product_main_images/small/06340.jpg","https://www.somogyi.sk/data/img/product_main_images/small/06340.jpg")</f>
        <v>0.0</v>
      </c>
      <c r="F717" s="2" t="inlineStr">
        <is>
          <t>5998312753866</t>
        </is>
      </c>
      <c r="G717" s="4" t="inlineStr">
        <is>
          <t xml:space="preserve"> • typ kábla: H05VV-F 3G 1,5  mm² 
 • dĺžka kábla: 50 m 
 • zapnutie tepelnej poistky: áno 
 • detská poistka: áno 
 • výkon v navinutom stave: 250 V~ / max. 1000 W 
 • výkon v rozvinutom stave: 250 V~ / max. 3000 W 
 • počet zásuviek: 4 
 • farba: oranžová 
 • IP stupeň ochrany: IP20</t>
        </is>
      </c>
    </row>
    <row r="718">
      <c r="A718" s="3" t="inlineStr">
        <is>
          <t>HJRF 24-30</t>
        </is>
      </c>
      <c r="B718" s="2" t="inlineStr">
        <is>
          <t>Predlžovací kábel na bubne, kovový podstavec, 1 spojka, 27+3m, francúzska n.</t>
        </is>
      </c>
      <c r="C718" s="1" t="n">
        <v>50.19</v>
      </c>
      <c r="D718" s="7" t="n">
        <f>HYPERLINK("https://www.somogyi.sk/product/predlzovaci-kabel-na-bubne-kovovy-podstavec-1-spojka-27-3m-francuzska-n-hjrf-24-30-8206","https://www.somogyi.sk/product/predlzovaci-kabel-na-bubne-kovovy-podstavec-1-spojka-27-3m-francuzska-n-hjrf-24-30-8206")</f>
        <v>0.0</v>
      </c>
      <c r="E718" s="7" t="n">
        <f>HYPERLINK("https://www.somogyi.sk/data/img/product_main_images/small/08206.jpg","https://www.somogyi.sk/data/img/product_main_images/small/08206.jpg")</f>
        <v>0.0</v>
      </c>
      <c r="F718" s="2" t="inlineStr">
        <is>
          <t>5998312771266</t>
        </is>
      </c>
      <c r="G718" s="4" t="inlineStr">
        <is>
          <t xml:space="preserve"> • typ kábla: H05VV-F 3G 1,0  mm² 
 • dĺžka kábla: 27 + 3 m 
 • zapnutie tepelnej poistky: áno 
 • detská poistka: áno 
 • výkon v navinutom stave: 250 V~ / max. 900 W 
 • výkon v rozvinutom stave: 250 V~ / max. 2300 W 
 • počet zásuviek: 1 
 • farba: oranžová 
 • IP stupeň ochrany: IP20</t>
        </is>
      </c>
    </row>
    <row r="719">
      <c r="A719" s="3" t="inlineStr">
        <is>
          <t>HJRF 4-25</t>
        </is>
      </c>
      <c r="B719" s="2" t="inlineStr">
        <is>
          <t>Predlžovací kábel na bubne, kovový podstavec, 4 uzemnené zásuvky, 25 m, francúzska n.</t>
        </is>
      </c>
      <c r="C719" s="1" t="n">
        <v>43.49</v>
      </c>
      <c r="D719" s="7" t="n">
        <f>HYPERLINK("https://www.somogyi.sk/product/predlzovaci-kabel-na-bubne-kovovy-podstavec-4-uzemnene-zasuvky-25-m-francuzska-n-hjrf-4-25-6335","https://www.somogyi.sk/product/predlzovaci-kabel-na-bubne-kovovy-podstavec-4-uzemnene-zasuvky-25-m-francuzska-n-hjrf-4-25-6335")</f>
        <v>0.0</v>
      </c>
      <c r="E719" s="7" t="n">
        <f>HYPERLINK("https://www.somogyi.sk/data/img/product_main_images/small/06335.jpg","https://www.somogyi.sk/data/img/product_main_images/small/06335.jpg")</f>
        <v>0.0</v>
      </c>
      <c r="F719" s="2" t="inlineStr">
        <is>
          <t>5998312753811</t>
        </is>
      </c>
      <c r="G719" s="4" t="inlineStr">
        <is>
          <t xml:space="preserve"> • typ kábla: H05VV-F 3G1,0 mm² 
 • dĺžka kábla: 25 m 
 • zapnutie tepelnej poistky: áno 
 • detská poistka: áno 
 • výkon v navinutom stave: 250 V~ / max. 1000 W 
 • výkon v rozvinutom stave: 250 V~ / max. 3000 W 
 • počet zásuviek: 4 
 • farba: čierna 
 • IP stupeň ochrany: IP20</t>
        </is>
      </c>
    </row>
    <row r="720">
      <c r="A720" s="6" t="inlineStr">
        <is>
          <t xml:space="preserve">   Elektrina / Sieťový predlžovací prívod s francúzskou zásuvkou, rozbočovač, zásuvka</t>
        </is>
      </c>
      <c r="B720" s="6" t="inlineStr">
        <is>
          <t/>
        </is>
      </c>
      <c r="C720" s="6" t="inlineStr">
        <is>
          <t/>
        </is>
      </c>
      <c r="D720" s="6" t="inlineStr">
        <is>
          <t/>
        </is>
      </c>
      <c r="E720" s="6" t="inlineStr">
        <is>
          <t/>
        </is>
      </c>
      <c r="F720" s="6" t="inlineStr">
        <is>
          <t/>
        </is>
      </c>
      <c r="G720" s="6" t="inlineStr">
        <is>
          <t/>
        </is>
      </c>
    </row>
    <row r="721">
      <c r="A721" s="3" t="inlineStr">
        <is>
          <t>NVTF 1/WH</t>
        </is>
      </c>
      <c r="B721" s="2" t="inlineStr">
        <is>
          <t>Sieťová zásuvka, prepäťová ochrana, francúzska n.</t>
        </is>
      </c>
      <c r="C721" s="1" t="n">
        <v>5.79</v>
      </c>
      <c r="D721" s="7" t="n">
        <f>HYPERLINK("https://www.somogyi.sk/product/sietova-zasuvka-prepatova-ochrana-francuzska-n-nvtf-1-wh-8874","https://www.somogyi.sk/product/sietova-zasuvka-prepatova-ochrana-francuzska-n-nvtf-1-wh-8874")</f>
        <v>0.0</v>
      </c>
      <c r="E721" s="7" t="n">
        <f>HYPERLINK("https://www.somogyi.sk/data/img/product_main_images/small/08874.jpg","https://www.somogyi.sk/data/img/product_main_images/small/08874.jpg")</f>
        <v>0.0</v>
      </c>
      <c r="F721" s="2" t="inlineStr">
        <is>
          <t>5998312777541</t>
        </is>
      </c>
      <c r="G721" s="4" t="inlineStr">
        <is>
          <t xml:space="preserve"> • menovité napätie: 250 V~ / 50 Hz 
 • menovitý prúd: 16 A 
 • menovitý príkon: 3500 W 
 • počet zásuviek: 1 
 • detská poistka: áno 
 • prepäťová ochrana: ochrana pred prepätím: 4,5 kA 
 • vypínač: nie 
 • závesné zásuvky: nie 
 • farba: biela 
 • IP stupeň ochrany: IP20 
 • rozmery: 53 x 74 x 79 mm</t>
        </is>
      </c>
    </row>
    <row r="722">
      <c r="A722" s="3" t="inlineStr">
        <is>
          <t>NVF 2-16/WH</t>
        </is>
      </c>
      <c r="B722" s="2" t="inlineStr">
        <is>
          <t>Sieťový rozbočovač  T, 3 zásuvky (2 uzemnené + 1 euro) , francúzska n.</t>
        </is>
      </c>
      <c r="C722" s="1" t="n">
        <v>3.09</v>
      </c>
      <c r="D722" s="7" t="n">
        <f>HYPERLINK("https://www.somogyi.sk/product/sietovy-rozbocovac-t-3-zasuvky-2-uzemnene-1-euro-francuzska-n-nvf-2-16-wh-7552","https://www.somogyi.sk/product/sietovy-rozbocovac-t-3-zasuvky-2-uzemnene-1-euro-francuzska-n-nvf-2-16-wh-7552")</f>
        <v>0.0</v>
      </c>
      <c r="E722" s="7" t="n">
        <f>HYPERLINK("https://www.somogyi.sk/data/img/product_main_images/small/07552.jpg","https://www.somogyi.sk/data/img/product_main_images/small/07552.jpg")</f>
        <v>0.0</v>
      </c>
      <c r="F722" s="2" t="inlineStr">
        <is>
          <t>5907559848761</t>
        </is>
      </c>
      <c r="G722" s="4" t="inlineStr">
        <is>
          <t xml:space="preserve"> • menovité napätie: 250 V~ 
 • menovitý prúd: max. 16 A 
 • počet zásuviek: 3ks uzemnenej zásuvky, 1ks euro zásuvka 
 • prepäťová ochrana: nie 
 • vypínač: nie 
 • závesné zásuvky: nie 
 • farba: biela 
 • IP stupeň ochrany: IP20</t>
        </is>
      </c>
    </row>
    <row r="723">
      <c r="A723" s="3" t="inlineStr">
        <is>
          <t>NVF 3K-3/WH/1,5</t>
        </is>
      </c>
      <c r="B723" s="2" t="inlineStr">
        <is>
          <t>Sieťový predlžovací prívod so spínačom, 3 zásuvky</t>
        </is>
      </c>
      <c r="C723" s="1" t="n">
        <v>7.99</v>
      </c>
      <c r="D723" s="7" t="n">
        <f>HYPERLINK("https://www.somogyi.sk/product/sietovy-predlzovaci-privod-so-spinacom-3-zasuvky-nvf-3k-3-wh-1-5-17150","https://www.somogyi.sk/product/sietovy-predlzovaci-privod-so-spinacom-3-zasuvky-nvf-3k-3-wh-1-5-17150")</f>
        <v>0.0</v>
      </c>
      <c r="E723" s="7" t="n">
        <f>HYPERLINK("https://www.somogyi.sk/data/img/product_main_images/small/17150.jpg","https://www.somogyi.sk/data/img/product_main_images/small/17150.jpg")</f>
        <v>0.0</v>
      </c>
      <c r="F723" s="2" t="inlineStr">
        <is>
          <t>5999084951825</t>
        </is>
      </c>
      <c r="G723" s="4" t="inlineStr">
        <is>
          <t xml:space="preserve"> • zásuvky s detskou ochranou 
 • 1 NPE 230 V∼ / 50 Hz 
 • 250 V∼ / max. 16 A 
 • 3/3 x 1,5 mm2 
 • 3 m 
 • biela</t>
        </is>
      </c>
    </row>
    <row r="724">
      <c r="A724" s="3" t="inlineStr">
        <is>
          <t>NVKF 1/WH</t>
        </is>
      </c>
      <c r="B724" s="2" t="inlineStr">
        <is>
          <t>Sieťová zásuvka, s vypínačom, francúzska n.</t>
        </is>
      </c>
      <c r="C724" s="1" t="n">
        <v>3.49</v>
      </c>
      <c r="D724" s="7" t="n">
        <f>HYPERLINK("https://www.somogyi.sk/product/sietova-zasuvka-s-vypinacom-francuzska-n-nvkf-1-wh-8873","https://www.somogyi.sk/product/sietova-zasuvka-s-vypinacom-francuzska-n-nvkf-1-wh-8873")</f>
        <v>0.0</v>
      </c>
      <c r="E724" s="7" t="n">
        <f>HYPERLINK("https://www.somogyi.sk/data/img/product_main_images/small/08873.jpg","https://www.somogyi.sk/data/img/product_main_images/small/08873.jpg")</f>
        <v>0.0</v>
      </c>
      <c r="F724" s="2" t="inlineStr">
        <is>
          <t>5998312777534</t>
        </is>
      </c>
      <c r="G724" s="4" t="inlineStr">
        <is>
          <t xml:space="preserve"> • menovité napätie: 250 V~  / 50 Hz 
 • menovitý prúd: 16 A 
 • menovitý príkon: 3500 W 
 • počet zásuviek: 1 
 • detská poistka: áno 
 • prepäťová ochrana: nie 
 • vypínač: áno 
 • závesné zásuvky: nie 
 • farba: biela 
 • IP stupeň ochrany: IP20 
 • rozmery: 53 x 74 x 79 mm</t>
        </is>
      </c>
    </row>
    <row r="725">
      <c r="A725" s="3" t="inlineStr">
        <is>
          <t>NVF 16/WH</t>
        </is>
      </c>
      <c r="B725" s="2" t="inlineStr">
        <is>
          <t>Sieťový rozbočovač  T, 3 uzemnené zásuvky, francúzska n.</t>
        </is>
      </c>
      <c r="C725" s="1" t="n">
        <v>5.49</v>
      </c>
      <c r="D725" s="7" t="n">
        <f>HYPERLINK("https://www.somogyi.sk/product/sietovy-rozbocovac-t-3-uzemnene-zasuvky-francuzska-n-nvf-16-wh-7551","https://www.somogyi.sk/product/sietovy-rozbocovac-t-3-uzemnene-zasuvky-francuzska-n-nvf-16-wh-7551")</f>
        <v>0.0</v>
      </c>
      <c r="E725" s="7" t="n">
        <f>HYPERLINK("https://www.somogyi.sk/data/img/product_main_images/small/07551.jpg","https://www.somogyi.sk/data/img/product_main_images/small/07551.jpg")</f>
        <v>0.0</v>
      </c>
      <c r="F725" s="2" t="inlineStr">
        <is>
          <t>5998312765357</t>
        </is>
      </c>
      <c r="G725" s="4" t="inlineStr">
        <is>
          <t xml:space="preserve"> • menovité napätie: 250 V~ 
 • menovitý prúd: max. 16 A 
 • počet zásuviek: 3ks uzemnenej zásuvky 
 • prepäťová ochrana: nie 
 • vypínač: nie 
 • závesné zásuvky: nie 
 • farba: biela 
 • IP stupeň ochrany: IP20</t>
        </is>
      </c>
    </row>
    <row r="726">
      <c r="A726" s="3" t="inlineStr">
        <is>
          <t>NVF 2-10/OR/1,5</t>
        </is>
      </c>
      <c r="B726" s="2" t="inlineStr">
        <is>
          <t>Sieťový predlžovací prívod, oranžová, 10 m</t>
        </is>
      </c>
      <c r="C726" s="1" t="n">
        <v>16.59</v>
      </c>
      <c r="D726" s="7" t="n">
        <f>HYPERLINK("https://www.somogyi.sk/product/sietovy-predlzovaci-privod-oranzova-10-m-nvf-2-10-or-1-5-17154","https://www.somogyi.sk/product/sietovy-predlzovaci-privod-oranzova-10-m-nvf-2-10-or-1-5-17154")</f>
        <v>0.0</v>
      </c>
      <c r="E726" s="7" t="n">
        <f>HYPERLINK("https://www.somogyi.sk/data/img/product_main_images/small/17154.jpg","https://www.somogyi.sk/data/img/product_main_images/small/17154.jpg")</f>
        <v>0.0</v>
      </c>
      <c r="F726" s="2" t="inlineStr">
        <is>
          <t>5999084951863</t>
        </is>
      </c>
      <c r="G726" s="4" t="inlineStr">
        <is>
          <t xml:space="preserve"> • typ kábla: 3 x 1,5 mm²  H05VV-F 
 • dĺžka kábla: 10 m 
 • farba: oranžová</t>
        </is>
      </c>
    </row>
    <row r="727">
      <c r="A727" s="3" t="inlineStr">
        <is>
          <t>NVF 17/WH</t>
        </is>
      </c>
      <c r="B727" s="2" t="inlineStr">
        <is>
          <t>Rozbočovač so spínačom, 1,5 m, biela</t>
        </is>
      </c>
      <c r="C727" s="1" t="n">
        <v>5.39</v>
      </c>
      <c r="D727" s="7" t="n">
        <f>HYPERLINK("https://www.somogyi.sk/product/rozbocovac-so-spinacom-1-5-m-biela-nvf-17-wh-9321","https://www.somogyi.sk/product/rozbocovac-so-spinacom-1-5-m-biela-nvf-17-wh-9321")</f>
        <v>0.0</v>
      </c>
      <c r="E727" s="7" t="n">
        <f>HYPERLINK("https://www.somogyi.sk/data/img/product_main_images/small/09321.jpg","https://www.somogyi.sk/data/img/product_main_images/small/09321.jpg")</f>
        <v>0.0</v>
      </c>
      <c r="F727" s="2" t="inlineStr">
        <is>
          <t>5998312781296</t>
        </is>
      </c>
      <c r="G727" s="4" t="inlineStr">
        <is>
          <t xml:space="preserve"> • typ kábla: 3 x 1,0 mm²  H05VV-F 
 • dĺžka kábla: 1,5 m 
 • menovité napätie: 250 V~ 
 • menovitý prúd: max. 10 A 
 • počet zásuviek: 3 ks uzemnenej zásuvky, 4 ks euro zásuvky 
 • prepäťová ochrana: nie 
 • vypínač: áno 
 • závesné zásuvky: nie 
 • farba: biela 
 • IP stupeň ochrany: IP20</t>
        </is>
      </c>
    </row>
    <row r="728">
      <c r="A728" s="3" t="inlineStr">
        <is>
          <t>NVF 2-20/OR/1,5</t>
        </is>
      </c>
      <c r="B728" s="2" t="inlineStr">
        <is>
          <t>20 m predlžovací prívod, oranžová</t>
        </is>
      </c>
      <c r="C728" s="1" t="n">
        <v>30.69</v>
      </c>
      <c r="D728" s="7" t="n">
        <f>HYPERLINK("https://www.somogyi.sk/product/20-m-predlzovaci-privod-oranzova-nvf-2-20-or-1-5-17155","https://www.somogyi.sk/product/20-m-predlzovaci-privod-oranzova-nvf-2-20-or-1-5-17155")</f>
        <v>0.0</v>
      </c>
      <c r="E728" s="7" t="n">
        <f>HYPERLINK("https://www.somogyi.sk/data/img/product_main_images/small/17155.jpg","https://www.somogyi.sk/data/img/product_main_images/small/17155.jpg")</f>
        <v>0.0</v>
      </c>
      <c r="F728" s="2" t="inlineStr">
        <is>
          <t>5999084951870</t>
        </is>
      </c>
      <c r="G728" s="4" t="inlineStr">
        <is>
          <t xml:space="preserve"> • 3 x 1,5 mm² H05VV-F 
 • 20 m 
 • oranžová</t>
        </is>
      </c>
    </row>
    <row r="729">
      <c r="A729" s="3" t="inlineStr">
        <is>
          <t>NVF 3K-5/WH/1,5</t>
        </is>
      </c>
      <c r="B729" s="2" t="inlineStr">
        <is>
          <t>Sieťový predlžovací prívod so spínačom, 3 zásuvky</t>
        </is>
      </c>
      <c r="C729" s="1" t="n">
        <v>10.99</v>
      </c>
      <c r="D729" s="7" t="n">
        <f>HYPERLINK("https://www.somogyi.sk/product/sietovy-predlzovaci-privod-so-spinacom-3-zasuvky-nvf-3k-5-wh-1-5-17151","https://www.somogyi.sk/product/sietovy-predlzovaci-privod-so-spinacom-3-zasuvky-nvf-3k-5-wh-1-5-17151")</f>
        <v>0.0</v>
      </c>
      <c r="E729" s="7" t="n">
        <f>HYPERLINK("https://www.somogyi.sk/data/img/product_main_images/small/17151.jpg","https://www.somogyi.sk/data/img/product_main_images/small/17151.jpg")</f>
        <v>0.0</v>
      </c>
      <c r="F729" s="2" t="inlineStr">
        <is>
          <t>5999084951832</t>
        </is>
      </c>
      <c r="G729" s="4" t="inlineStr">
        <is>
          <t xml:space="preserve"> • zásuvky s detskou ochranou 
 • 1 NPE 230 V∼ / 50 Hz 
 • 250 V∼ / max. 16 A 
 • 3/3 x 1,5 mm2 
 • 5 m 
 • biela</t>
        </is>
      </c>
    </row>
    <row r="730">
      <c r="A730" s="3" t="inlineStr">
        <is>
          <t>NVF 3/WH</t>
        </is>
      </c>
      <c r="B730" s="2" t="inlineStr">
        <is>
          <t>Sieťový predlžovací prívod, 3 zásuvky, 1,5 m</t>
        </is>
      </c>
      <c r="C730" s="1" t="n">
        <v>3.29</v>
      </c>
      <c r="D730" s="7" t="n">
        <f>HYPERLINK("https://www.somogyi.sk/product/sietovy-predlzovaci-privod-3-zasuvky-1-5-m-nvf-3-wh-16843","https://www.somogyi.sk/product/sietovy-predlzovaci-privod-3-zasuvky-1-5-m-nvf-3-wh-16843")</f>
        <v>0.0</v>
      </c>
      <c r="E730" s="7" t="n">
        <f>HYPERLINK("https://www.somogyi.sk/data/img/product_main_images/small/16843.jpg","https://www.somogyi.sk/data/img/product_main_images/small/16843.jpg")</f>
        <v>0.0</v>
      </c>
      <c r="F730" s="2" t="inlineStr">
        <is>
          <t>5999084948757</t>
        </is>
      </c>
      <c r="G730" s="4" t="inlineStr">
        <is>
          <t xml:space="preserve"> • zásuvky s detskou ochranou 
 • 1 NPE 230 V∼ / 50 Hz 
 • 250 V∼ / max. 10 A 
 • 1,0 mm2 
 • 1,5 m 
 • biela</t>
        </is>
      </c>
    </row>
    <row r="731">
      <c r="A731" s="3" t="inlineStr">
        <is>
          <t>NVF 2-5/WH/1,5</t>
        </is>
      </c>
      <c r="B731" s="2" t="inlineStr">
        <is>
          <t>Sieťový predlžovací prívod, biela, 5 m</t>
        </is>
      </c>
      <c r="C731" s="1" t="n">
        <v>8.59</v>
      </c>
      <c r="D731" s="7" t="n">
        <f>HYPERLINK("https://www.somogyi.sk/product/sietovy-predlzovaci-privod-biela-5-m-nvf-2-5-wh-1-5-17152","https://www.somogyi.sk/product/sietovy-predlzovaci-privod-biela-5-m-nvf-2-5-wh-1-5-17152")</f>
        <v>0.0</v>
      </c>
      <c r="E731" s="7" t="n">
        <f>HYPERLINK("https://www.somogyi.sk/data/img/product_main_images/small/17152.jpg","https://www.somogyi.sk/data/img/product_main_images/small/17152.jpg")</f>
        <v>0.0</v>
      </c>
      <c r="F731" s="2" t="inlineStr">
        <is>
          <t>5999084951849</t>
        </is>
      </c>
      <c r="G731" s="4" t="inlineStr">
        <is>
          <t xml:space="preserve"> • 3 x 1,5 mm² H05VV-F 
 • 5 m 
 • biela</t>
        </is>
      </c>
    </row>
    <row r="732">
      <c r="A732" s="3" t="inlineStr">
        <is>
          <t>NVF 2-30/OR/1,5</t>
        </is>
      </c>
      <c r="B732" s="2" t="inlineStr">
        <is>
          <t>Sieťový predlžovací prívod, oranžová, 30 m</t>
        </is>
      </c>
      <c r="C732" s="1" t="n">
        <v>44.99</v>
      </c>
      <c r="D732" s="7" t="n">
        <f>HYPERLINK("https://www.somogyi.sk/product/sietovy-predlzovaci-privod-oranzova-30-m-nvf-2-30-or-1-5-17156","https://www.somogyi.sk/product/sietovy-predlzovaci-privod-oranzova-30-m-nvf-2-30-or-1-5-17156")</f>
        <v>0.0</v>
      </c>
      <c r="E732" s="7" t="n">
        <f>HYPERLINK("https://www.somogyi.sk/data/img/product_main_images/small/17156.jpg","https://www.somogyi.sk/data/img/product_main_images/small/17156.jpg")</f>
        <v>0.0</v>
      </c>
      <c r="F732" s="2" t="inlineStr">
        <is>
          <t>5999084951887</t>
        </is>
      </c>
      <c r="G732" s="4" t="inlineStr">
        <is>
          <t xml:space="preserve"> • 3 x 1,5 mm² H05VV-F 
 • 30 m 
 • oranžová</t>
        </is>
      </c>
    </row>
    <row r="733">
      <c r="A733" s="3" t="inlineStr">
        <is>
          <t>NVF 2-10/WH/1,5</t>
        </is>
      </c>
      <c r="B733" s="2" t="inlineStr">
        <is>
          <t>Sieťový predlžovací prívod, biela, 10 m</t>
        </is>
      </c>
      <c r="C733" s="1" t="n">
        <v>15.99</v>
      </c>
      <c r="D733" s="7" t="n">
        <f>HYPERLINK("https://www.somogyi.sk/product/sietovy-predlzovaci-privod-biela-10-m-nvf-2-10-wh-1-5-17153","https://www.somogyi.sk/product/sietovy-predlzovaci-privod-biela-10-m-nvf-2-10-wh-1-5-17153")</f>
        <v>0.0</v>
      </c>
      <c r="E733" s="7" t="n">
        <f>HYPERLINK("https://www.somogyi.sk/data/img/product_main_images/small/17153.jpg","https://www.somogyi.sk/data/img/product_main_images/small/17153.jpg")</f>
        <v>0.0</v>
      </c>
      <c r="F733" s="2" t="inlineStr">
        <is>
          <t>5999084951856</t>
        </is>
      </c>
      <c r="G733" s="4" t="inlineStr">
        <is>
          <t xml:space="preserve"> • 3 x 1,5 mm² H05VV-F 
 • 10 m 
 • biela</t>
        </is>
      </c>
    </row>
    <row r="734">
      <c r="A734" s="6" t="inlineStr">
        <is>
          <t xml:space="preserve">   Elektrina / Časové spínače, diaľkovo ovládané zásuvky s francúzskou zásuvkou</t>
        </is>
      </c>
      <c r="B734" s="6" t="inlineStr">
        <is>
          <t/>
        </is>
      </c>
      <c r="C734" s="6" t="inlineStr">
        <is>
          <t/>
        </is>
      </c>
      <c r="D734" s="6" t="inlineStr">
        <is>
          <t/>
        </is>
      </c>
      <c r="E734" s="6" t="inlineStr">
        <is>
          <t/>
        </is>
      </c>
      <c r="F734" s="6" t="inlineStr">
        <is>
          <t/>
        </is>
      </c>
      <c r="G734" s="6" t="inlineStr">
        <is>
          <t/>
        </is>
      </c>
    </row>
    <row r="735">
      <c r="A735" s="3" t="inlineStr">
        <is>
          <t>7300S</t>
        </is>
      </c>
      <c r="B735" s="2" t="inlineStr">
        <is>
          <t>Mechanický denný časový spínač, mini, franzúzska zásuvka</t>
        </is>
      </c>
      <c r="C735" s="1" t="n">
        <v>5.79</v>
      </c>
      <c r="D735" s="7" t="n">
        <f>HYPERLINK("https://www.somogyi.sk/product/mechanicky-denny-casovy-spinac-mini-franzuzska-zasuvka-7300s-16426","https://www.somogyi.sk/product/mechanicky-denny-casovy-spinac-mini-franzuzska-zasuvka-7300s-16426")</f>
        <v>0.0</v>
      </c>
      <c r="E735" s="7" t="n">
        <f>HYPERLINK("https://www.somogyi.sk/data/img/product_main_images/small/16426.jpg","https://www.somogyi.sk/data/img/product_main_images/small/16426.jpg")</f>
        <v>0.0</v>
      </c>
      <c r="F735" s="2" t="inlineStr">
        <is>
          <t>5999084944582</t>
        </is>
      </c>
      <c r="G735" s="4" t="inlineStr">
        <is>
          <t xml:space="preserve"> • min. programovateľná doba: 30 minút  
 • max. 48 zapínaní alebo vypínaní za deň   
 • manuálny vy- / zapínač  
 • detská ochrana  
 • 16 A / 230 V~ / 3680 W                                                 
 • rozmery: 103 x 54 x 70</t>
        </is>
      </c>
    </row>
    <row r="736">
      <c r="A736" s="6" t="inlineStr">
        <is>
          <t xml:space="preserve">   Elektrina / Spínač osvetlenia, zásuvka</t>
        </is>
      </c>
      <c r="B736" s="6" t="inlineStr">
        <is>
          <t/>
        </is>
      </c>
      <c r="C736" s="6" t="inlineStr">
        <is>
          <t/>
        </is>
      </c>
      <c r="D736" s="6" t="inlineStr">
        <is>
          <t/>
        </is>
      </c>
      <c r="E736" s="6" t="inlineStr">
        <is>
          <t/>
        </is>
      </c>
      <c r="F736" s="6" t="inlineStr">
        <is>
          <t/>
        </is>
      </c>
      <c r="G736" s="6" t="inlineStr">
        <is>
          <t/>
        </is>
      </c>
    </row>
    <row r="737">
      <c r="A737" s="3" t="inlineStr">
        <is>
          <t>0316H</t>
        </is>
      </c>
      <c r="B737" s="2" t="inlineStr">
        <is>
          <t>Prepínací spínač, Business Line IP20</t>
        </is>
      </c>
      <c r="C737" s="1" t="n">
        <v>3.19</v>
      </c>
      <c r="D737" s="7" t="n">
        <f>HYPERLINK("https://www.somogyi.sk/product/prepinaci-spinac-business-line-ip20-0316h-9944","https://www.somogyi.sk/product/prepinaci-spinac-business-line-ip20-0316h-9944")</f>
        <v>0.0</v>
      </c>
      <c r="E737" s="7" t="n">
        <f>HYPERLINK("https://www.somogyi.sk/data/img/product_main_images/small/09944.jpg","https://www.somogyi.sk/data/img/product_main_images/small/09944.jpg")</f>
        <v>0.0</v>
      </c>
      <c r="F737" s="2" t="inlineStr">
        <is>
          <t>4004282403166</t>
        </is>
      </c>
      <c r="G737" s="4" t="inlineStr">
        <is>
          <t xml:space="preserve"> • sortiment: Business Line 
 • IP stupeň ochrany: IP20 
 • na stenu: áno 
 • zapustená: nie 
 • uzemnená: nie 
 • menovité napätie: 230 V~  / 50 Hz 
 • menovitý prúd: 10 A 
 • prepínací spínač: áno</t>
        </is>
      </c>
    </row>
    <row r="738">
      <c r="A738" s="3" t="inlineStr">
        <is>
          <t>0315H</t>
        </is>
      </c>
      <c r="B738" s="2" t="inlineStr">
        <is>
          <t>Spínač osvetlenia,  Business Line IP20</t>
        </is>
      </c>
      <c r="C738" s="1" t="n">
        <v>2.79</v>
      </c>
      <c r="D738" s="7" t="n">
        <f>HYPERLINK("https://www.somogyi.sk/product/spinac-osvetlenia-business-line-ip20-0315h-9942","https://www.somogyi.sk/product/spinac-osvetlenia-business-line-ip20-0315h-9942")</f>
        <v>0.0</v>
      </c>
      <c r="E738" s="7" t="n">
        <f>HYPERLINK("https://www.somogyi.sk/data/img/product_main_images/small/09942.jpg","https://www.somogyi.sk/data/img/product_main_images/small/09942.jpg")</f>
        <v>0.0</v>
      </c>
      <c r="F738" s="2" t="inlineStr">
        <is>
          <t>4004282403159</t>
        </is>
      </c>
      <c r="G738" s="4" t="inlineStr">
        <is>
          <t xml:space="preserve"> • sortiment: Business Line 
 • IP stupeň ochrany: IP20 
 • na stenu: áno 
 • zapustená: nie 
 • uzemnená: nie 
 • menovité napätie: 230 V~  / 50 Hz 
 • menovitý prúd: 10 A 
 • spínač osvetlenia: áno 
 • prepínací spínač: nie</t>
        </is>
      </c>
    </row>
    <row r="739">
      <c r="A739" s="3" t="inlineStr">
        <is>
          <t>NVK SWITCH</t>
        </is>
      </c>
      <c r="B739" s="2" t="inlineStr">
        <is>
          <t>Spínač na diaľ. ovládanie, 3000 W</t>
        </is>
      </c>
      <c r="C739" s="1" t="n">
        <v>17.59</v>
      </c>
      <c r="D739" s="7" t="n">
        <f>HYPERLINK("https://www.somogyi.sk/product/spinac-na-dial-ovladanie-3000-w-nvk-switch-17257","https://www.somogyi.sk/product/spinac-na-dial-ovladanie-3000-w-nvk-switch-17257")</f>
        <v>0.0</v>
      </c>
      <c r="E739" s="7" t="n">
        <f>HYPERLINK("https://www.somogyi.sk/data/img/product_main_images/small/17257.jpg","https://www.somogyi.sk/data/img/product_main_images/small/17257.jpg")</f>
        <v>0.0</v>
      </c>
      <c r="F739" s="2" t="inlineStr">
        <is>
          <t>5999084952792</t>
        </is>
      </c>
      <c r="G739" s="4" t="inlineStr">
        <is>
          <t xml:space="preserve"> • rozmery: tlačidlo / modul: 50x82x22mm / 28x55x19mm 
 • dosah na otvorenom teréne: ∼120 m (na otvorenom teréne) 
 • prevádzková frekvencia: 433,92 MHz 
 • zaťažiteľnosť: 3000 W / 13A 
 • kódovanie: individuálne kódovanie s funkciou učenia / dá sa spárovať až s 8 tlačidlami 
 • obsah setu: 1 spínací modul, 1 tlačidlo</t>
        </is>
      </c>
    </row>
    <row r="740">
      <c r="A740" s="3" t="inlineStr">
        <is>
          <t>NV 1K/BK</t>
        </is>
      </c>
      <c r="B740" s="2" t="inlineStr">
        <is>
          <t>Šnúrový spínač, 1-pólový</t>
        </is>
      </c>
      <c r="C740" s="1" t="n">
        <v>1.39</v>
      </c>
      <c r="D740" s="7" t="n">
        <f>HYPERLINK("https://www.somogyi.sk/product/snurovy-spinac-1-polovy-nv-1k-bk-15706","https://www.somogyi.sk/product/snurovy-spinac-1-polovy-nv-1k-bk-15706")</f>
        <v>0.0</v>
      </c>
      <c r="E740" s="7" t="n">
        <f>HYPERLINK("https://www.somogyi.sk/data/img/product_main_images/small/15706.jpg","https://www.somogyi.sk/data/img/product_main_images/small/15706.jpg")</f>
        <v>0.0</v>
      </c>
      <c r="F740" s="2" t="inlineStr">
        <is>
          <t>5999084937409</t>
        </is>
      </c>
      <c r="G740" s="4" t="inlineStr">
        <is>
          <t xml:space="preserve"> • menovité napätie: 250 V~ 
 • menovitý prúd: 4 A 
 • 1-pólová: áno 
 • farba: čierna</t>
        </is>
      </c>
    </row>
    <row r="741">
      <c r="A741" s="3" t="inlineStr">
        <is>
          <t>NV 1K/WH</t>
        </is>
      </c>
      <c r="B741" s="2" t="inlineStr">
        <is>
          <t>Šnúrový spínač, 1-pólový</t>
        </is>
      </c>
      <c r="C741" s="1" t="n">
        <v>1.39</v>
      </c>
      <c r="D741" s="7" t="n">
        <f>HYPERLINK("https://www.somogyi.sk/product/snurovy-spinac-1-polovy-nv-1k-wh-15705","https://www.somogyi.sk/product/snurovy-spinac-1-polovy-nv-1k-wh-15705")</f>
        <v>0.0</v>
      </c>
      <c r="E741" s="7" t="n">
        <f>HYPERLINK("https://www.somogyi.sk/data/img/product_main_images/small/15705.jpg","https://www.somogyi.sk/data/img/product_main_images/small/15705.jpg")</f>
        <v>0.0</v>
      </c>
      <c r="F741" s="2" t="inlineStr">
        <is>
          <t>5999084937393</t>
        </is>
      </c>
      <c r="G741" s="4" t="inlineStr">
        <is>
          <t xml:space="preserve"> • menovité napätie: 250 V~ 
 • menovitý prúd: 4 A 
 • 1-pólová: áno 
 • farba: biela</t>
        </is>
      </c>
    </row>
    <row r="742">
      <c r="A742" s="3" t="inlineStr">
        <is>
          <t>0323H</t>
        </is>
      </c>
      <c r="B742" s="2" t="inlineStr">
        <is>
          <t>Tlačidlový spínač,  Business Line IP20</t>
        </is>
      </c>
      <c r="C742" s="1" t="n">
        <v>2.59</v>
      </c>
      <c r="D742" s="7" t="n">
        <f>HYPERLINK("https://www.somogyi.sk/product/tlacidlovy-spinac-business-line-ip20-0323h-9945","https://www.somogyi.sk/product/tlacidlovy-spinac-business-line-ip20-0323h-9945")</f>
        <v>0.0</v>
      </c>
      <c r="E742" s="7" t="n">
        <f>HYPERLINK("https://www.somogyi.sk/data/img/product_main_images/small/09945.jpg","https://www.somogyi.sk/data/img/product_main_images/small/09945.jpg")</f>
        <v>0.0</v>
      </c>
      <c r="F742" s="2" t="inlineStr">
        <is>
          <t>4004282403234</t>
        </is>
      </c>
      <c r="G742" s="4" t="inlineStr">
        <is>
          <t xml:space="preserve"> • sortiment: Business Line 
 • IP stupeň ochrany: IP 20 
 • na stenu: áno 
 • zapustená: nie 
 • uzemnená: nie 
 • menovité napätie: 230 V~ / 50 Hz 
 • menovitý prúd: 10 A 
 • tlačidlový spínač: áno</t>
        </is>
      </c>
    </row>
    <row r="743">
      <c r="A743" s="3" t="inlineStr">
        <is>
          <t>22041</t>
        </is>
      </c>
      <c r="B743" s="2" t="inlineStr">
        <is>
          <t>Aquastar prepínací spínač, biela</t>
        </is>
      </c>
      <c r="C743" s="1" t="n">
        <v>5.49</v>
      </c>
      <c r="D743" s="7" t="n">
        <f>HYPERLINK("https://www.somogyi.sk/product/aquastar-prepinaci-spinac-biela-22041-15313","https://www.somogyi.sk/product/aquastar-prepinaci-spinac-biela-22041-15313")</f>
        <v>0.0</v>
      </c>
      <c r="E743" s="7" t="n">
        <f>HYPERLINK("https://www.somogyi.sk/data/img/product_main_images/small/15313.jpg","https://www.somogyi.sk/data/img/product_main_images/small/15313.jpg")</f>
        <v>0.0</v>
      </c>
      <c r="F743" s="2" t="inlineStr">
        <is>
          <t>4008297220411</t>
        </is>
      </c>
      <c r="G743" s="4" t="inlineStr">
        <is>
          <t xml:space="preserve"> • sortiment: Aquastar 
 • IP stupeň ochrany: IP44 
 • na stenu: áno 
 • menovité napätie: 230 V~ / 50 Hz 
 • menovitý prúd: 10 A 
 • prepínací spínač: áno 
 • farba: biela</t>
        </is>
      </c>
    </row>
    <row r="744">
      <c r="A744" s="3" t="inlineStr">
        <is>
          <t>22031</t>
        </is>
      </c>
      <c r="B744" s="2" t="inlineStr">
        <is>
          <t>Aquastar spínač osvetlenia, biela</t>
        </is>
      </c>
      <c r="C744" s="1" t="n">
        <v>5.79</v>
      </c>
      <c r="D744" s="7" t="n">
        <f>HYPERLINK("https://www.somogyi.sk/product/aquastar-spinac-osvetlenia-biela-22031-15314","https://www.somogyi.sk/product/aquastar-spinac-osvetlenia-biela-22031-15314")</f>
        <v>0.0</v>
      </c>
      <c r="E744" s="7" t="n">
        <f>HYPERLINK("https://www.somogyi.sk/data/img/product_main_images/small/15314.jpg","https://www.somogyi.sk/data/img/product_main_images/small/15314.jpg")</f>
        <v>0.0</v>
      </c>
      <c r="F744" s="2" t="inlineStr">
        <is>
          <t>4008297220312</t>
        </is>
      </c>
      <c r="G744" s="4" t="inlineStr">
        <is>
          <t xml:space="preserve"> • sortiment: Aquastar 
 • IP stupeň ochrany: IP44 
 • na stenu: áno 
 • menovité napätie: 230 V~ / 50 Hz 
 • menovitý prúd: 10 A 
 • spínač osvetlenia: áno 
 • farba: biela</t>
        </is>
      </c>
    </row>
    <row r="745">
      <c r="A745" s="3" t="inlineStr">
        <is>
          <t>22061</t>
        </is>
      </c>
      <c r="B745" s="2" t="inlineStr">
        <is>
          <t>Aquastar tlačidlo so symbolom zvončeka, biala</t>
        </is>
      </c>
      <c r="C745" s="1" t="n">
        <v>5.39</v>
      </c>
      <c r="D745" s="7" t="n">
        <f>HYPERLINK("https://www.somogyi.sk/product/aquastar-tlacidlo-so-symbolom-zvonceka-biala-22061-15317","https://www.somogyi.sk/product/aquastar-tlacidlo-so-symbolom-zvonceka-biala-22061-15317")</f>
        <v>0.0</v>
      </c>
      <c r="E745" s="7" t="n">
        <f>HYPERLINK("https://www.somogyi.sk/data/img/product_main_images/small/15317.jpg","https://www.somogyi.sk/data/img/product_main_images/small/15317.jpg")</f>
        <v>0.0</v>
      </c>
      <c r="F745" s="2" t="inlineStr">
        <is>
          <t>4008297220619</t>
        </is>
      </c>
      <c r="G745" s="4" t="inlineStr">
        <is>
          <t xml:space="preserve"> • sortiment: Aquastar 
 • IP stupeň ochrany: IP44 
 • na stenu: áno 
 • menovité napätie: 230 V~ / 50 Hz 
 • menovitý prúd: 16 A 
 • tlačidlový spínač: áno 
 • farba: biela</t>
        </is>
      </c>
    </row>
    <row r="746">
      <c r="A746" s="3" t="inlineStr">
        <is>
          <t>22081</t>
        </is>
      </c>
      <c r="B746" s="2" t="inlineStr">
        <is>
          <t>Aquastar 1-pólový spínač, biela</t>
        </is>
      </c>
      <c r="C746" s="1" t="n">
        <v>5.39</v>
      </c>
      <c r="D746" s="7" t="n">
        <f>HYPERLINK("https://www.somogyi.sk/product/aquastar-1-polovy-spinac-biela-22081-15316","https://www.somogyi.sk/product/aquastar-1-polovy-spinac-biela-22081-15316")</f>
        <v>0.0</v>
      </c>
      <c r="E746" s="7" t="n">
        <f>HYPERLINK("https://www.somogyi.sk/data/img/product_main_images/small/15316.jpg","https://www.somogyi.sk/data/img/product_main_images/small/15316.jpg")</f>
        <v>0.0</v>
      </c>
      <c r="F746" s="2" t="inlineStr">
        <is>
          <t>4008297220817</t>
        </is>
      </c>
      <c r="G746" s="4" t="inlineStr">
        <is>
          <t xml:space="preserve"> • sortiment: Aquastar 
 • IP stupeň ochrany: IP44 
 • na stenu: áno 
 • menovité napätie: 230 V~ / 50 Hz 
 • menovitý prúd: 10 A 
 • 1-pólová: áno 
 • farba: biela</t>
        </is>
      </c>
    </row>
    <row r="747">
      <c r="A747" s="3" t="inlineStr">
        <is>
          <t>22181</t>
        </is>
      </c>
      <c r="B747" s="2" t="inlineStr">
        <is>
          <t>Aquastar 2-pólový spínač</t>
        </is>
      </c>
      <c r="C747" s="1" t="n">
        <v>5.99</v>
      </c>
      <c r="D747" s="7" t="n">
        <f>HYPERLINK("https://www.somogyi.sk/product/aquastar-2-polovy-spinac-22181-15315","https://www.somogyi.sk/product/aquastar-2-polovy-spinac-22181-15315")</f>
        <v>0.0</v>
      </c>
      <c r="E747" s="7" t="n">
        <f>HYPERLINK("https://www.somogyi.sk/data/img/product_main_images/small/15315.jpg","https://www.somogyi.sk/data/img/product_main_images/small/15315.jpg")</f>
        <v>0.0</v>
      </c>
      <c r="F747" s="2" t="inlineStr">
        <is>
          <t>4008297221814</t>
        </is>
      </c>
      <c r="G747" s="4" t="inlineStr">
        <is>
          <t xml:space="preserve"> • sortiment: Aquastar 
 • IP stupeň ochrany: IP44 
 • na stenu: áno 
 • menovité napätie: 230 V~ / 50 Hz 
 • menovitý prúd: 10 A 
 • 2 pólová: áno 
 • farba: biela</t>
        </is>
      </c>
    </row>
    <row r="748">
      <c r="A748" s="6" t="inlineStr">
        <is>
          <t xml:space="preserve">   Elektrina / Elektroinštalácia</t>
        </is>
      </c>
      <c r="B748" s="6" t="inlineStr">
        <is>
          <t/>
        </is>
      </c>
      <c r="C748" s="6" t="inlineStr">
        <is>
          <t/>
        </is>
      </c>
      <c r="D748" s="6" t="inlineStr">
        <is>
          <t/>
        </is>
      </c>
      <c r="E748" s="6" t="inlineStr">
        <is>
          <t/>
        </is>
      </c>
      <c r="F748" s="6" t="inlineStr">
        <is>
          <t/>
        </is>
      </c>
      <c r="G748" s="6" t="inlineStr">
        <is>
          <t/>
        </is>
      </c>
    </row>
    <row r="749">
      <c r="A749" s="3" t="inlineStr">
        <is>
          <t>0708S</t>
        </is>
      </c>
      <c r="B749" s="2" t="inlineStr">
        <is>
          <t>E27 objímka, čierny</t>
        </is>
      </c>
      <c r="C749" s="1" t="n">
        <v>1.29</v>
      </c>
      <c r="D749" s="7" t="n">
        <f>HYPERLINK("https://www.somogyi.sk/product/e27-objimka-cierny-0708s-10028","https://www.somogyi.sk/product/e27-objimka-cierny-0708s-10028")</f>
        <v>0.0</v>
      </c>
      <c r="E749" s="7" t="n">
        <f>HYPERLINK("https://www.somogyi.sk/data/img/product_main_images/small/10028.jpg","https://www.somogyi.sk/data/img/product_main_images/small/10028.jpg")</f>
        <v>0.0</v>
      </c>
      <c r="F749" s="2" t="inlineStr">
        <is>
          <t>4004282407089</t>
        </is>
      </c>
      <c r="G749" s="4" t="inlineStr">
        <is>
          <t xml:space="preserve"> • objímka: E27 
 • farba: čierna 
 • prúd / výkon: 60 W</t>
        </is>
      </c>
    </row>
    <row r="750">
      <c r="A750" s="3" t="inlineStr">
        <is>
          <t>0716S</t>
        </is>
      </c>
      <c r="B750" s="2" t="inlineStr">
        <is>
          <t>E27 objímka, biely</t>
        </is>
      </c>
      <c r="C750" s="1" t="n">
        <v>1.29</v>
      </c>
      <c r="D750" s="7" t="n">
        <f>HYPERLINK("https://www.somogyi.sk/product/e27-objimka-biely-0716s-10029","https://www.somogyi.sk/product/e27-objimka-biely-0716s-10029")</f>
        <v>0.0</v>
      </c>
      <c r="E750" s="7" t="n">
        <f>HYPERLINK("https://www.somogyi.sk/data/img/product_main_images/small/10029.jpg","https://www.somogyi.sk/data/img/product_main_images/small/10029.jpg")</f>
        <v>0.0</v>
      </c>
      <c r="F750" s="2" t="inlineStr">
        <is>
          <t>4004282407164</t>
        </is>
      </c>
      <c r="G750" s="4" t="inlineStr">
        <is>
          <t xml:space="preserve"> • objímka: E27 
 • farba: biela 
 • prúd / výkon: 60 W</t>
        </is>
      </c>
    </row>
    <row r="751">
      <c r="A751" s="3" t="inlineStr">
        <is>
          <t>5221H</t>
        </is>
      </c>
      <c r="B751" s="2" t="inlineStr">
        <is>
          <t>Inštalačná krabica, 85x85 mm, IP54</t>
        </is>
      </c>
      <c r="C751" s="1" t="n">
        <v>0.99</v>
      </c>
      <c r="D751" s="7" t="n">
        <f>HYPERLINK("https://www.somogyi.sk/product/instalacna-krabica-85x85-mm-ip54-5221h-10024","https://www.somogyi.sk/product/instalacna-krabica-85x85-mm-ip54-5221h-10024")</f>
        <v>0.0</v>
      </c>
      <c r="E751" s="7" t="n">
        <f>HYPERLINK("https://www.somogyi.sk/data/img/product_main_images/small/10024.jpg","https://www.somogyi.sk/data/img/product_main_images/small/10024.jpg")</f>
        <v>0.0</v>
      </c>
      <c r="F751" s="2" t="inlineStr">
        <is>
          <t>4004282452218</t>
        </is>
      </c>
      <c r="G751" s="4" t="inlineStr">
        <is>
          <t xml:space="preserve"> • rozmery: 85 x 85 mm 
 • farba: sivá 
 • IP ochrana: IP44 
 • na stenu: áno</t>
        </is>
      </c>
    </row>
    <row r="752">
      <c r="A752" s="3" t="inlineStr">
        <is>
          <t>5232H</t>
        </is>
      </c>
      <c r="B752" s="2" t="inlineStr">
        <is>
          <t>Inštalačná krabica, 75x75 mm, IP54</t>
        </is>
      </c>
      <c r="C752" s="1" t="n">
        <v>0.89</v>
      </c>
      <c r="D752" s="7" t="n">
        <f>HYPERLINK("https://www.somogyi.sk/product/instalacna-krabica-75x75-mm-ip54-5232h-10023","https://www.somogyi.sk/product/instalacna-krabica-75x75-mm-ip54-5232h-10023")</f>
        <v>0.0</v>
      </c>
      <c r="E752" s="7" t="n">
        <f>HYPERLINK("https://www.somogyi.sk/data/img/product_main_images/small/10023.jpg","https://www.somogyi.sk/data/img/product_main_images/small/10023.jpg")</f>
        <v>0.0</v>
      </c>
      <c r="F752" s="2" t="inlineStr">
        <is>
          <t>4004282452324</t>
        </is>
      </c>
      <c r="G752" s="4" t="inlineStr">
        <is>
          <t xml:space="preserve"> • rozmery: 75 x 75 mm 
 • farba: sivá 
 • IP ochrana: IP44 
 • na stenu: áno</t>
        </is>
      </c>
    </row>
    <row r="753">
      <c r="A753" s="3" t="inlineStr">
        <is>
          <t>5233H</t>
        </is>
      </c>
      <c r="B753" s="2" t="inlineStr">
        <is>
          <t>Inštalačná krabica, 100x100 mm, IP54</t>
        </is>
      </c>
      <c r="C753" s="1" t="n">
        <v>1.29</v>
      </c>
      <c r="D753" s="7" t="n">
        <f>HYPERLINK("https://www.somogyi.sk/product/instalacna-krabica-100x100-mm-ip54-5233h-10025","https://www.somogyi.sk/product/instalacna-krabica-100x100-mm-ip54-5233h-10025")</f>
        <v>0.0</v>
      </c>
      <c r="E753" s="7" t="n">
        <f>HYPERLINK("https://www.somogyi.sk/data/img/product_main_images/small/10025.jpg","https://www.somogyi.sk/data/img/product_main_images/small/10025.jpg")</f>
        <v>0.0</v>
      </c>
      <c r="F753" s="2" t="inlineStr">
        <is>
          <t>4004282452331</t>
        </is>
      </c>
      <c r="G753" s="4" t="inlineStr">
        <is>
          <t xml:space="preserve"> • rozmery: 100 x 100 mm 
 • farba: sivá 
 • IP ochrana: IP44 
 • na stenu: áno</t>
        </is>
      </c>
    </row>
    <row r="754">
      <c r="A754" s="3" t="inlineStr">
        <is>
          <t>5229H</t>
        </is>
      </c>
      <c r="B754" s="2" t="inlineStr">
        <is>
          <t>Inštalačná krabica, 75x45 mm, IP54</t>
        </is>
      </c>
      <c r="C754" s="1" t="n">
        <v>0.69</v>
      </c>
      <c r="D754" s="7" t="n">
        <f>HYPERLINK("https://www.somogyi.sk/product/instalacna-krabica-75x45-mm-ip54-5229h-10022","https://www.somogyi.sk/product/instalacna-krabica-75x45-mm-ip54-5229h-10022")</f>
        <v>0.0</v>
      </c>
      <c r="E754" s="7" t="n">
        <f>HYPERLINK("https://www.somogyi.sk/data/img/product_main_images/small/10022.jpg","https://www.somogyi.sk/data/img/product_main_images/small/10022.jpg")</f>
        <v>0.0</v>
      </c>
      <c r="F754" s="2" t="inlineStr">
        <is>
          <t>4004282452294</t>
        </is>
      </c>
      <c r="G754" s="4" t="inlineStr">
        <is>
          <t xml:space="preserve"> • rozmery: 75 x 45 mm 
 • farba: sivá 
 • IP ochrana: IP44 
 • na stenu: áno</t>
        </is>
      </c>
    </row>
    <row r="755">
      <c r="A755" s="6" t="inlineStr">
        <is>
          <t xml:space="preserve">   Elektrina / Merač spotreby</t>
        </is>
      </c>
      <c r="B755" s="6" t="inlineStr">
        <is>
          <t/>
        </is>
      </c>
      <c r="C755" s="6" t="inlineStr">
        <is>
          <t/>
        </is>
      </c>
      <c r="D755" s="6" t="inlineStr">
        <is>
          <t/>
        </is>
      </c>
      <c r="E755" s="6" t="inlineStr">
        <is>
          <t/>
        </is>
      </c>
      <c r="F755" s="6" t="inlineStr">
        <is>
          <t/>
        </is>
      </c>
      <c r="G755" s="6" t="inlineStr">
        <is>
          <t/>
        </is>
      </c>
    </row>
    <row r="756">
      <c r="A756" s="3" t="inlineStr">
        <is>
          <t>5031H</t>
        </is>
      </c>
      <c r="B756" s="2" t="inlineStr">
        <is>
          <t>1 fázový merač spotreby elektriny, obnovený, 230-250V, 10/30A</t>
        </is>
      </c>
      <c r="C756" s="1" t="n">
        <v>21.99</v>
      </c>
      <c r="D756" s="7" t="n">
        <f>HYPERLINK("https://www.somogyi.sk/product/1-fazovy-merac-spotreby-elektriny-obnoveny-230-250v-10-30a-5031h-10107","https://www.somogyi.sk/product/1-fazovy-merac-spotreby-elektriny-obnoveny-230-250v-10-30a-5031h-10107")</f>
        <v>0.0</v>
      </c>
      <c r="E756" s="7" t="n">
        <f>HYPERLINK("https://www.somogyi.sk/data/img/product_main_images/small/10107.jpg","https://www.somogyi.sk/data/img/product_main_images/small/10107.jpg")</f>
        <v>0.0</v>
      </c>
      <c r="F756" s="2" t="inlineStr">
        <is>
          <t>4004282450313</t>
        </is>
      </c>
      <c r="G756" s="4" t="inlineStr">
        <is>
          <t xml:space="preserve"> • fázy: 1 fázový 
 • napätie: 250 V~ 
 • prúd: 10 / 30 A 
 • inovovaný: áno</t>
        </is>
      </c>
    </row>
    <row r="757">
      <c r="A757" s="6" t="inlineStr">
        <is>
          <t xml:space="preserve">   Elektrina / Stabilizátor napätia</t>
        </is>
      </c>
      <c r="B757" s="6" t="inlineStr">
        <is>
          <t/>
        </is>
      </c>
      <c r="C757" s="6" t="inlineStr">
        <is>
          <t/>
        </is>
      </c>
      <c r="D757" s="6" t="inlineStr">
        <is>
          <t/>
        </is>
      </c>
      <c r="E757" s="6" t="inlineStr">
        <is>
          <t/>
        </is>
      </c>
      <c r="F757" s="6" t="inlineStr">
        <is>
          <t/>
        </is>
      </c>
      <c r="G757" s="6" t="inlineStr">
        <is>
          <t/>
        </is>
      </c>
    </row>
    <row r="758">
      <c r="A758" s="3" t="inlineStr">
        <is>
          <t>UPS 1000</t>
        </is>
      </c>
      <c r="B758" s="2" t="inlineStr">
        <is>
          <t>Stabilizátor napájania a napätia</t>
        </is>
      </c>
      <c r="C758" s="1" t="n">
        <v>157.9</v>
      </c>
      <c r="D758" s="7" t="n">
        <f>HYPERLINK("https://www.somogyi.sk/product/stabilizator-napajania-a-napatia-ups-1000-16912","https://www.somogyi.sk/product/stabilizator-napajania-a-napatia-ups-1000-16912")</f>
        <v>0.0</v>
      </c>
      <c r="E758" s="7" t="n">
        <f>HYPERLINK("https://www.somogyi.sk/data/img/product_main_images/small/16912.jpg","https://www.somogyi.sk/data/img/product_main_images/small/16912.jpg")</f>
        <v>0.0</v>
      </c>
      <c r="F758" s="2" t="inlineStr">
        <is>
          <t>5999084949440</t>
        </is>
      </c>
      <c r="G758" s="4" t="inlineStr">
        <is>
          <t xml:space="preserve"> • výkon: 1000 VA zdanlivý výkon / 700 W efektívny výkon 
 • nabíjací prúd: 10 A 
 • kapacita: odporúčaná kapacita akumulátora: min. 40 Ah 
 • povolená teplota okolia: 2 uzemnené zásuvky GS 
 •  
 • charakteristiky: produkuje rovnaké napätie ako sieť (Pure Sine) 
 • rozmery: 14,5 x 17 x 34 cm 
 • hmotnosť: 7,4 kg</t>
        </is>
      </c>
    </row>
    <row r="759">
      <c r="A759" s="6" t="inlineStr">
        <is>
          <t xml:space="preserve">   Elektrina / Rozbočovač</t>
        </is>
      </c>
      <c r="B759" s="6" t="inlineStr">
        <is>
          <t/>
        </is>
      </c>
      <c r="C759" s="6" t="inlineStr">
        <is>
          <t/>
        </is>
      </c>
      <c r="D759" s="6" t="inlineStr">
        <is>
          <t/>
        </is>
      </c>
      <c r="E759" s="6" t="inlineStr">
        <is>
          <t/>
        </is>
      </c>
      <c r="F759" s="6" t="inlineStr">
        <is>
          <t/>
        </is>
      </c>
      <c r="G759" s="6" t="inlineStr">
        <is>
          <t/>
        </is>
      </c>
    </row>
    <row r="760">
      <c r="A760" s="3" t="inlineStr">
        <is>
          <t>NV 4E-5/WH</t>
        </is>
      </c>
      <c r="B760" s="2" t="inlineStr">
        <is>
          <t>EURO rozbočovač, 5 m, biela</t>
        </is>
      </c>
      <c r="C760" s="1" t="n">
        <v>6.99</v>
      </c>
      <c r="D760" s="7" t="n">
        <f>HYPERLINK("https://www.somogyi.sk/product/euro-rozbocovac-5-m-biela-nv-4e-5-wh-17617","https://www.somogyi.sk/product/euro-rozbocovac-5-m-biela-nv-4e-5-wh-17617")</f>
        <v>0.0</v>
      </c>
      <c r="E760" s="7" t="n">
        <f>HYPERLINK("https://www.somogyi.sk/data/img/product_main_images/small/17617.jpg","https://www.somogyi.sk/data/img/product_main_images/small/17617.jpg")</f>
        <v>0.0</v>
      </c>
      <c r="F760" s="2" t="inlineStr">
        <is>
          <t>5999084956394</t>
        </is>
      </c>
      <c r="G760" s="4" t="inlineStr">
        <is>
          <t xml:space="preserve"> • typ kábla: H05VVH2-F 2 x 0,75 mm2 
 • dĺžka kábla: 5 m 
 • menovité napätie: 250 V~ 
 • menovitý prúd: 4 x 2,5 A 
 • menovitý príkon: 2300 W 
 • počet zásuviek: 4 x EURO 
 • detská poistka: áno 
 • farba: biela</t>
        </is>
      </c>
    </row>
    <row r="761">
      <c r="A761" s="3" t="inlineStr">
        <is>
          <t>NV 4E-3/WH</t>
        </is>
      </c>
      <c r="B761" s="2" t="inlineStr">
        <is>
          <t>EURO rozbočovač, 3 m, biela</t>
        </is>
      </c>
      <c r="C761" s="1" t="n">
        <v>5.49</v>
      </c>
      <c r="D761" s="7" t="n">
        <f>HYPERLINK("https://www.somogyi.sk/product/euro-rozbocovac-3-m-biela-nv-4e-3-wh-17616","https://www.somogyi.sk/product/euro-rozbocovac-3-m-biela-nv-4e-3-wh-17616")</f>
        <v>0.0</v>
      </c>
      <c r="E761" s="7" t="n">
        <f>HYPERLINK("https://www.somogyi.sk/data/img/product_main_images/small/17616.jpg","https://www.somogyi.sk/data/img/product_main_images/small/17616.jpg")</f>
        <v>0.0</v>
      </c>
      <c r="F761" s="2" t="inlineStr">
        <is>
          <t>5999084956387</t>
        </is>
      </c>
      <c r="G761" s="4" t="inlineStr">
        <is>
          <t xml:space="preserve"> • typ kábla: H05VVH2-F 2 x 0,75 mm2 
 • dĺžka kábla: 3 m 
 • menovité napätie: 250 V~ 
 • menovitý prúd: 4 x 2,5 A 
 • menovitý príkon: 2300 W 
 • počet zásuviek: 4 x EURO 
 • detská poistka: áno 
 • farba: biela</t>
        </is>
      </c>
    </row>
    <row r="762">
      <c r="A762" s="6" t="inlineStr">
        <is>
          <t xml:space="preserve">   Osvetlenie / LED zdroj svetla, kompaktná žiarovka, halogénová žiarovka</t>
        </is>
      </c>
      <c r="B762" s="6" t="inlineStr">
        <is>
          <t/>
        </is>
      </c>
      <c r="C762" s="6" t="inlineStr">
        <is>
          <t/>
        </is>
      </c>
      <c r="D762" s="6" t="inlineStr">
        <is>
          <t/>
        </is>
      </c>
      <c r="E762" s="6" t="inlineStr">
        <is>
          <t/>
        </is>
      </c>
      <c r="F762" s="6" t="inlineStr">
        <is>
          <t/>
        </is>
      </c>
      <c r="G762" s="6" t="inlineStr">
        <is>
          <t/>
        </is>
      </c>
    </row>
    <row r="763">
      <c r="A763" s="3" t="inlineStr">
        <is>
          <t>LS 5000SOUND</t>
        </is>
      </c>
      <c r="B763" s="2" t="inlineStr">
        <is>
          <t>LED pás blikajúci na rytmus hudby, 5 m, RGB, 150 LED</t>
        </is>
      </c>
      <c r="C763" s="1" t="n">
        <v>27.89</v>
      </c>
      <c r="D763" s="7" t="n">
        <f>HYPERLINK("https://www.somogyi.sk/product/led-pas-blikajuci-na-rytmus-hudby-5-m-rgb-150-led-ls-5000sound-16959","https://www.somogyi.sk/product/led-pas-blikajuci-na-rytmus-hudby-5-m-rgb-150-led-ls-5000sound-16959")</f>
        <v>0.0</v>
      </c>
      <c r="E763" s="7" t="n">
        <f>HYPERLINK("https://www.somogyi.sk/data/img/product_main_images/small/16959.jpg","https://www.somogyi.sk/data/img/product_main_images/small/16959.jpg")</f>
        <v>0.0</v>
      </c>
      <c r="F763" s="2" t="inlineStr">
        <is>
          <t>5999084949914</t>
        </is>
      </c>
      <c r="G763" s="4" t="inlineStr">
        <is>
          <t xml:space="preserve"> • regulácia svietivosti: áno 
 • zdroj svetla: LED 
 • počet zdrojov svetla: 150 LED 
 • životnosť: 30.000 h 
 • IP ochrana: IP44/IP20 
 • teplota farby: 6500 K 
 • napájanie: 230 V~ 50 Hz / 12 V 2 A (adaptér) 
 • rozmery: 5 m</t>
        </is>
      </c>
    </row>
    <row r="764">
      <c r="A764" s="3" t="inlineStr">
        <is>
          <t>LS 5000RGB</t>
        </is>
      </c>
      <c r="B764" s="2" t="inlineStr">
        <is>
          <t>LED pás, 5 m, RGB, 150 LED</t>
        </is>
      </c>
      <c r="C764" s="1" t="n">
        <v>24.09</v>
      </c>
      <c r="D764" s="7" t="n">
        <f>HYPERLINK("https://www.somogyi.sk/product/led-pas-5-m-rgb-150-led-ls-5000rgb-16958","https://www.somogyi.sk/product/led-pas-5-m-rgb-150-led-ls-5000rgb-16958")</f>
        <v>0.0</v>
      </c>
      <c r="E764" s="7" t="n">
        <f>HYPERLINK("https://www.somogyi.sk/data/img/product_main_images/small/16958.jpg","https://www.somogyi.sk/data/img/product_main_images/small/16958.jpg")</f>
        <v>0.0</v>
      </c>
      <c r="F764" s="2" t="inlineStr">
        <is>
          <t>5999084949907</t>
        </is>
      </c>
      <c r="G764" s="4" t="inlineStr">
        <is>
          <t xml:space="preserve"> • regulácia svietivosti: áno 
 • zdroj svetla: LED 
 • počet zdrojov svetla: 150 ks / 5m 
 • výkon: 4,8 W / m 
 • životnosť: 30000 h 
 • IP ochrana: IP44/IP20 
 • teplota farby: 6500 K 
 • svietivosť: 400 lm / m 
 • napájanie: 230 V~ 50 Hz / 12 V 2 A (adaptér) 
 • rozmery: 5 m</t>
        </is>
      </c>
    </row>
    <row r="765">
      <c r="A765" s="6" t="inlineStr">
        <is>
          <t xml:space="preserve">   Osvetlenie / Solárne osvetlenie</t>
        </is>
      </c>
      <c r="B765" s="6" t="inlineStr">
        <is>
          <t/>
        </is>
      </c>
      <c r="C765" s="6" t="inlineStr">
        <is>
          <t/>
        </is>
      </c>
      <c r="D765" s="6" t="inlineStr">
        <is>
          <t/>
        </is>
      </c>
      <c r="E765" s="6" t="inlineStr">
        <is>
          <t/>
        </is>
      </c>
      <c r="F765" s="6" t="inlineStr">
        <is>
          <t/>
        </is>
      </c>
      <c r="G765" s="6" t="inlineStr">
        <is>
          <t/>
        </is>
      </c>
    </row>
    <row r="766">
      <c r="A766" s="3" t="inlineStr">
        <is>
          <t>MX644</t>
        </is>
      </c>
      <c r="B766" s="2" t="inlineStr">
        <is>
          <t>Solárne záhradné svietidlo, včielka</t>
        </is>
      </c>
      <c r="C766" s="1" t="n">
        <v>6.29</v>
      </c>
      <c r="D766" s="7" t="n">
        <f>HYPERLINK("https://www.somogyi.sk/product/solarne-zahradne-svietidlo-vcielka-mx644-18337","https://www.somogyi.sk/product/solarne-zahradne-svietidlo-vcielka-mx644-18337")</f>
        <v>0.0</v>
      </c>
      <c r="E766" s="7" t="n">
        <f>HYPERLINK("https://www.somogyi.sk/data/img/product_main_images/small/18337.jpg","https://www.somogyi.sk/data/img/product_main_images/small/18337.jpg")</f>
        <v>0.0</v>
      </c>
      <c r="F766" s="2" t="inlineStr">
        <is>
          <t>5999084963552</t>
        </is>
      </c>
      <c r="G766" s="4" t="inlineStr">
        <is>
          <t xml:space="preserve"> • materiál: plast (polyresín) 
 • farba LED: studená biela 
 • počet LED: 2 ks 
 • za- / vypínanie: automatický 
 • napájanie: zabudovaný1,2 V 40 mAh akumulátor HB40 (Ni-MH) 
 • rozmery: 10,5 x (16,5/26,5) x 7 cm 
 • ochrana proti vode: IP44: ochrana voči striekajúcej vode z každého smeru 
 • charakteristiky: zabudovaný solárny panel a nabíjačka akumulátora: cez deň sa nabíja, v noci svieti 
 • umiestnenie: na vonkajšie / vnútorné použitie</t>
        </is>
      </c>
    </row>
    <row r="767">
      <c r="A767" s="3" t="inlineStr">
        <is>
          <t>FLP250SOLAR</t>
        </is>
      </c>
      <c r="B767" s="2" t="inlineStr">
        <is>
          <t>Solárny LED reflektor so senzorom pohybu</t>
        </is>
      </c>
      <c r="C767" s="1" t="n">
        <v>13.59</v>
      </c>
      <c r="D767" s="7" t="n">
        <f>HYPERLINK("https://www.somogyi.sk/product/solarny-led-reflektor-so-senzorom-pohybu-flp250solar-18346","https://www.somogyi.sk/product/solarny-led-reflektor-so-senzorom-pohybu-flp250solar-18346")</f>
        <v>0.0</v>
      </c>
      <c r="E767" s="7" t="n">
        <f>HYPERLINK("https://www.somogyi.sk/data/img/product_main_images/small/18346.jpg","https://www.somogyi.sk/data/img/product_main_images/small/18346.jpg")</f>
        <v>0.0</v>
      </c>
      <c r="F767" s="2" t="inlineStr">
        <is>
          <t>5999084963644</t>
        </is>
      </c>
      <c r="G767" s="4" t="inlineStr">
        <is>
          <t xml:space="preserve"> • materiál: plast 
 • farba LED: studená biela 
 • počet LED: 56 ks 
 • za- / vypínanie: automatický 
 • možnosť montáže na stenu: áno 
 • napájanie: 1x 3.7 V 18650 Li-ion 1200 mAh akumulátor 
 • N/A: trvanie svietenia závisí od toho, ako dlho a aké silné bolo svetlo predtým 
 • svietivosť: 250 lm 
 • teplota farby: 10000 K 
 • ochrana proti vode: IP44: ochrana voči striekajúcej vode z každého smeru 
 • PIR senzor pohybu: detekčný uhol: 120°, max. 5 m</t>
        </is>
      </c>
    </row>
    <row r="768">
      <c r="A768" s="3" t="inlineStr">
        <is>
          <t>MX643</t>
        </is>
      </c>
      <c r="B768" s="2" t="inlineStr">
        <is>
          <t>Solárne záhradné svietidlo, 12 ks displej</t>
        </is>
      </c>
      <c r="C768" s="1" t="n">
        <v>5.19</v>
      </c>
      <c r="D768" s="7" t="n">
        <f>HYPERLINK("https://www.somogyi.sk/product/solarne-zahradne-svietidlo-12-ks-displej-mx643-18339","https://www.somogyi.sk/product/solarne-zahradne-svietidlo-12-ks-displej-mx643-18339")</f>
        <v>0.0</v>
      </c>
      <c r="E768" s="7" t="n">
        <f>HYPERLINK("https://www.somogyi.sk/data/img/product_main_images/small/18339.jpg","https://www.somogyi.sk/data/img/product_main_images/small/18339.jpg")</f>
        <v>0.0</v>
      </c>
      <c r="F768" s="2" t="inlineStr">
        <is>
          <t>5999084963576</t>
        </is>
      </c>
      <c r="G768" s="4" t="inlineStr">
        <is>
          <t xml:space="preserve"> • materiál: plast (polyresín) 
 • farba LED: studená biela 
 • počet LED: 2 ks 
 • za- / vypínanie: automatický 
 • napájanie: zabudovaný 1,2V 100 mAh 1/3AAA (Ni-MH) akumulátor 
 • rozmery: 9,4 x 8,5 x 13 cm 
 • ochrana proti vode: IP44: ochrana voči striekajúcej vode z každého smeru 
 • charakteristiky: zabudovaný solárny panel a nabíjačka akumulátora: cez deň sa nabíja, v noci svieti 
 • balenie: 12 ks/displej (krava, ovca, kohút a prasiatko)</t>
        </is>
      </c>
    </row>
    <row r="769">
      <c r="A769" s="3" t="inlineStr">
        <is>
          <t>MX 809</t>
        </is>
      </c>
      <c r="B769" s="2" t="inlineStr">
        <is>
          <t>Solárne záhradné svietidlo</t>
        </is>
      </c>
      <c r="C769" s="1" t="n">
        <v>3.39</v>
      </c>
      <c r="D769" s="7" t="n">
        <f>HYPERLINK("https://www.somogyi.sk/product/solarne-zahradne-svietidlo-mx-809-17605","https://www.somogyi.sk/product/solarne-zahradne-svietidlo-mx-809-17605")</f>
        <v>0.0</v>
      </c>
      <c r="E769" s="7" t="n">
        <f>HYPERLINK("https://www.somogyi.sk/data/img/product_main_images/small/17605.jpg","https://www.somogyi.sk/data/img/product_main_images/small/17605.jpg")</f>
        <v>0.0</v>
      </c>
      <c r="F769" s="2" t="inlineStr">
        <is>
          <t>5999084956271</t>
        </is>
      </c>
      <c r="G769" s="4" t="inlineStr">
        <is>
          <t xml:space="preserve"> • materiál: kov / plast 
 • farba LED: studená biela 
 • počet LED: 1 ks 
 • za- / vypínanie: automatický 
 • možnosť zapichnutia do zeme: áno 
 • napájanie: vymeniteľný (1,2 V / 100 mAh) AAA akumulátor 
 • rozmery: ∅7 x 34 cm</t>
        </is>
      </c>
    </row>
    <row r="770">
      <c r="A770" s="3" t="inlineStr">
        <is>
          <t>MXNV3</t>
        </is>
      </c>
      <c r="B770" s="2" t="inlineStr">
        <is>
          <t>Slnečná plachta s trblietavou oblohou</t>
        </is>
      </c>
      <c r="C770" s="1" t="n">
        <v>43.59</v>
      </c>
      <c r="D770" s="7" t="n">
        <f>HYPERLINK("https://www.somogyi.sk/product/slnecna-plachta-s-trblietavou-oblohou-mxnv3-18335","https://www.somogyi.sk/product/slnecna-plachta-s-trblietavou-oblohou-mxnv3-18335")</f>
        <v>0.0</v>
      </c>
      <c r="E770" s="7" t="n">
        <f>HYPERLINK("https://www.somogyi.sk/data/img/product_main_images/small/18335.jpg","https://www.somogyi.sk/data/img/product_main_images/small/18335.jpg")</f>
        <v>0.0</v>
      </c>
      <c r="F770" s="2" t="inlineStr">
        <is>
          <t>5999084963538</t>
        </is>
      </c>
      <c r="G770" s="4" t="inlineStr">
        <is>
          <t xml:space="preserve"> • materiál: polyetylén HDPE 
 • farba: béžová 
 • farba LED: teplá biela 
 • počet LED: 140 ks micro LED 
 • za- / vypínanie: manuálny 
 • funkcia: 8 programov (1.kombinácia všetkých programov, 2.vlniaci reťazec svetiel, 3.páry žiaroviek v meniacom sa rytme,4.pomalé tlenie, 5.rýchle blikanie svetiel, 6.pomalé rozsvietenie/zhasínanie, 7. rýchle žiarenie, 8. všetky žiarovky svietia nepretržite) 
 • napájanie: 1x 1,2V AA MiMH 1000 mAh akumulátor 
 • rozmery: 3 x 3 x 3 m 
 • dĺžka kábla: 2 m (od solárneho panelu po plachtu) 
 • hmotnosť: 160 g/m2 
 • N/A: 6-8 hodín (v závislosti od nabitia) 
 • teplota farby: 2700-2900 K 
 • ochrana proti vode: IP44 
 • charakteristiky: miera zatienenia: 85-95% 
 • umiestnenie: na vonkajšie / vnútorné použitie 
 • balenie: 1 ks (nylonová taška so zipsom) 
 • príslušenstvo: 3 šnúry, upevňovacie prvky, stojan na solárny panel so zapichovacím prvkom</t>
        </is>
      </c>
    </row>
    <row r="771">
      <c r="A771" s="3" t="inlineStr">
        <is>
          <t>MX816</t>
        </is>
      </c>
      <c r="B771" s="2" t="inlineStr">
        <is>
          <t>Solárne záhradné svietidlo, 12 ks displej</t>
        </is>
      </c>
      <c r="C771" s="1" t="n">
        <v>2.59</v>
      </c>
      <c r="D771" s="7" t="n">
        <f>HYPERLINK("https://www.somogyi.sk/product/solarne-zahradne-svietidlo-12-ks-displej-mx816-18343","https://www.somogyi.sk/product/solarne-zahradne-svietidlo-12-ks-displej-mx816-18343")</f>
        <v>0.0</v>
      </c>
      <c r="E771" s="7" t="n">
        <f>HYPERLINK("https://www.somogyi.sk/data/img/product_main_images/small/18343.jpg","https://www.somogyi.sk/data/img/product_main_images/small/18343.jpg")</f>
        <v>0.0</v>
      </c>
      <c r="F771" s="2" t="inlineStr">
        <is>
          <t>5999084963613</t>
        </is>
      </c>
      <c r="G771" s="4" t="inlineStr">
        <is>
          <t xml:space="preserve"> • materiál: kov / plast 
 • farba LED: blikajúca žltá 
 • počet LED: 1 ks 
 • za- / vypínanie: automatický 
 • možnosť zapichnutia do zeme: áno 
 • napájanie: 1,2V 40 mAh HB40 (Ni-MH) akumulátor 
 • rozmery: 6,2 x 6,2 x 27,5 (37,5) cm 
 • ochrana proti vode: IP44: ochrana voči striekajúcej vode z každého smeru 
 • charakteristiky: zabudovaný solárny panel a nabíjačka akumulátora: cez deň sa nabíja, v noci svieti 
 • umiestnenie: na vonkajšie / vnútorné použitie 
 • balenie: 12 ks/displej</t>
        </is>
      </c>
    </row>
    <row r="772">
      <c r="A772" s="3" t="inlineStr">
        <is>
          <t>MX 720</t>
        </is>
      </c>
      <c r="B772" s="2" t="inlineStr">
        <is>
          <t>Solárne záhradné svietidlo</t>
        </is>
      </c>
      <c r="C772" s="1" t="n">
        <v>2.39</v>
      </c>
      <c r="D772" s="7" t="n">
        <f>HYPERLINK("https://www.somogyi.sk/product/solarne-zahradne-svietidlo-mx-720-14409","https://www.somogyi.sk/product/solarne-zahradne-svietidlo-mx-720-14409")</f>
        <v>0.0</v>
      </c>
      <c r="E772" s="7" t="n">
        <f>HYPERLINK("https://www.somogyi.sk/data/img/product_main_images/small/14409.jpg","https://www.somogyi.sk/data/img/product_main_images/small/14409.jpg")</f>
        <v>0.0</v>
      </c>
      <c r="F772" s="2" t="inlineStr">
        <is>
          <t>5999084924577</t>
        </is>
      </c>
      <c r="G772" s="4" t="inlineStr">
        <is>
          <t xml:space="preserve"> • materiál: plast 
 • farba LED: biela 
 • počet LED: 1 
 • za- / vypínanie: automatické 
 • možnosť zapichnutia do zeme: áno 
 • možnosť montáže na stenu: nie 
 • závesné: nie 
 • možnosť umiestnenia na stôl: nie 
 • zabudovateľné: nie 
 • napájanie: vymeniteľný (1,2 V / 200 mAh) AAA NiMH akumulátor 
 • rozmery: Ø4,9 x 68 cm 
 • hmotnosť: 1,1 kg 
 • charakteristiky: prevedenie odolné voči poveternostným podmienkam</t>
        </is>
      </c>
    </row>
    <row r="773">
      <c r="A773" s="3" t="inlineStr">
        <is>
          <t>MX 300</t>
        </is>
      </c>
      <c r="B773" s="2" t="inlineStr">
        <is>
          <t>Solárna plastová fakľa</t>
        </is>
      </c>
      <c r="C773" s="1" t="n">
        <v>14.79</v>
      </c>
      <c r="D773" s="7" t="n">
        <f>HYPERLINK("https://www.somogyi.sk/product/solarna-plastova-fakla-mx-300-16278","https://www.somogyi.sk/product/solarna-plastova-fakla-mx-300-16278")</f>
        <v>0.0</v>
      </c>
      <c r="E773" s="7" t="n">
        <f>HYPERLINK("https://www.somogyi.sk/data/img/product_main_images/small/16278.jpg","https://www.somogyi.sk/data/img/product_main_images/small/16278.jpg")</f>
        <v>0.0</v>
      </c>
      <c r="F773" s="2" t="inlineStr">
        <is>
          <t>5999084943103</t>
        </is>
      </c>
      <c r="G773" s="4" t="inlineStr">
        <is>
          <t xml:space="preserve"> • materiál: plast 
 • farba LED: žltá 
 • počet LED: 72 ks 
 • za- / vypínanie: automatický 
 • možnosť zapichnutia do zeme: áno 
 • napájanie: zabudovaný (3,7 V / 1200 mAh) akumulátor 
 • rozmery: ∅13,5 x 78 cm</t>
        </is>
      </c>
    </row>
    <row r="774">
      <c r="A774" s="3" t="inlineStr">
        <is>
          <t>MX 802/4</t>
        </is>
      </c>
      <c r="B774" s="2" t="inlineStr">
        <is>
          <t>Solárne záhradné svietidlo, 4ks</t>
        </is>
      </c>
      <c r="C774" s="1" t="n">
        <v>10.09</v>
      </c>
      <c r="D774" s="7" t="n">
        <f>HYPERLINK("https://www.somogyi.sk/product/solarne-zahradne-svietidlo-4ks-mx-802-4-14410","https://www.somogyi.sk/product/solarne-zahradne-svietidlo-4ks-mx-802-4-14410")</f>
        <v>0.0</v>
      </c>
      <c r="E774" s="7" t="n">
        <f>HYPERLINK("https://www.somogyi.sk/data/img/product_main_images/small/14410.jpg","https://www.somogyi.sk/data/img/product_main_images/small/14410.jpg")</f>
        <v>0.0</v>
      </c>
      <c r="F774" s="2" t="inlineStr">
        <is>
          <t>5999084924584</t>
        </is>
      </c>
      <c r="G774" s="4" t="inlineStr">
        <is>
          <t xml:space="preserve"> • materiál: kov / sklo 
 • farba LED: biela 
 • počet LED: 1 
 • za- / vypínanie: automatické 
 • možnosť zapichnutia do zeme: áno 
 • možnosť montáže na stenu: nie 
 • závesné: nie 
 • možnosť umiestnenia na stôl: nie 
 • zabudovateľné: nie 
 • napájanie: vymeniteľný (1,2 V / 200 mAh) AAA NiMH akumulátor 
 • rozmery: Ø8 x 34,5 cm 
 • hmotnosť: 0,4 kg</t>
        </is>
      </c>
    </row>
    <row r="775">
      <c r="A775" s="3" t="inlineStr">
        <is>
          <t>MX842</t>
        </is>
      </c>
      <c r="B775" s="2" t="inlineStr">
        <is>
          <t>Solárne záhradné svietidlo, čierny plast, 24 ks sada</t>
        </is>
      </c>
      <c r="C775" s="1" t="n">
        <v>1.39</v>
      </c>
      <c r="D775" s="7" t="n">
        <f>HYPERLINK("https://www.somogyi.sk/product/solarne-zahradne-svietidlo-cierny-plast-24-ks-sada-mx842-19016","https://www.somogyi.sk/product/solarne-zahradne-svietidlo-cierny-plast-24-ks-sada-mx842-19016")</f>
        <v>0.0</v>
      </c>
      <c r="E775" s="7" t="n">
        <f>HYPERLINK("https://www.somogyi.sk/data/img/product_main_images/small/19016.jpg","https://www.somogyi.sk/data/img/product_main_images/small/19016.jpg")</f>
        <v>0.0</v>
      </c>
      <c r="F775" s="2" t="inlineStr">
        <is>
          <t>5999084970109</t>
        </is>
      </c>
      <c r="G775" s="4" t="inlineStr">
        <is>
          <t xml:space="preserve"> • materiál: plast 
 • farba: čierna 
 • farba LED: teplá biela 
 • počet LED: 1 ks 
 • za- / vypínanie: manuálna / automatická 
 • možnosť zapichnutia do zeme: áno 
 • napájanie: 1,2 V, 40 mAh Ni-MH gombíkový akumulátor 
 • rozmery: ∅4,5 cm x 30,5 cm so zapichovacím prvkom 
 • hmotnosť: 60 g 
 • charakteristiky: prevedenie odolné voči poveternostným podmienkam 
 • balenie: 24 ks / sada</t>
        </is>
      </c>
    </row>
    <row r="776">
      <c r="A776" s="3" t="inlineStr">
        <is>
          <t>MX 760</t>
        </is>
      </c>
      <c r="B776" s="2" t="inlineStr">
        <is>
          <t>Solárne záhradné svietidlo</t>
        </is>
      </c>
      <c r="C776" s="1" t="n">
        <v>3.99</v>
      </c>
      <c r="D776" s="7" t="n">
        <f>HYPERLINK("https://www.somogyi.sk/product/solarne-zahradne-svietidlo-mx-760-8876","https://www.somogyi.sk/product/solarne-zahradne-svietidlo-mx-760-8876")</f>
        <v>0.0</v>
      </c>
      <c r="E776" s="7" t="n">
        <f>HYPERLINK("https://www.somogyi.sk/data/img/product_main_images/small/08876.jpg","https://www.somogyi.sk/data/img/product_main_images/small/08876.jpg")</f>
        <v>0.0</v>
      </c>
      <c r="F776" s="2" t="inlineStr">
        <is>
          <t>5998312777565</t>
        </is>
      </c>
      <c r="G776" s="4" t="inlineStr">
        <is>
          <t xml:space="preserve"> • materiál: plast 
 • farba LED: biela 
 • počet LED: 1 ks 
 • za- / vypínanie: manuálna / automatická 
 • možnosť zapichnutia do zeme: áno 
 • napájanie: vymeniteľný (1,2 V / 100 mAh) AA Ni-Mh akumulátor 
 • rozmery: ∅12,5 x 45,5 cm so zapichovacím prvkom 
 • N/A: až 8 hodín nepretržitej prevádzky 
 • charakteristiky: prevedenie odolné voči poveternostným podmienkam</t>
        </is>
      </c>
    </row>
    <row r="777">
      <c r="A777" s="3" t="inlineStr">
        <is>
          <t>SWF02</t>
        </is>
      </c>
      <c r="B777" s="2" t="inlineStr">
        <is>
          <t>Solárna záhradná fontána</t>
        </is>
      </c>
      <c r="C777" s="1" t="n">
        <v>12.69</v>
      </c>
      <c r="D777" s="7" t="n">
        <f>HYPERLINK("https://www.somogyi.sk/product/solarna-zahradna-fontana-swf02-19015","https://www.somogyi.sk/product/solarna-zahradna-fontana-swf02-19015")</f>
        <v>0.0</v>
      </c>
      <c r="E777" s="7" t="n">
        <f>HYPERLINK("https://www.somogyi.sk/data/img/product_main_images/small/19015.jpg","https://www.somogyi.sk/data/img/product_main_images/small/19015.jpg")</f>
        <v>0.0</v>
      </c>
      <c r="F777" s="2" t="inlineStr">
        <is>
          <t>5999084970093</t>
        </is>
      </c>
      <c r="G777" s="4" t="inlineStr">
        <is>
          <t xml:space="preserve"> • zabudovaná solárna batéria 
 • štyri druhy rozprašovača, sú príslušenstvom 
 • až 40 cm výška vodného prúdu 
 • IP X8 ochrana – vodotesné pre trvalé ponorenie, max. do hĺbky 1 m 
 • automatická prevádzka 
 • nie sú potrebné batérie alebo akumulátor 
 • rozmery: ∅13 x 3 cm</t>
        </is>
      </c>
    </row>
    <row r="778">
      <c r="A778" s="3" t="inlineStr">
        <is>
          <t>MX301</t>
        </is>
      </c>
      <c r="B778" s="2" t="inlineStr">
        <is>
          <t>Solárna záhradná fakľa, 12 ks / displej</t>
        </is>
      </c>
      <c r="C778" s="1" t="n">
        <v>3.69</v>
      </c>
      <c r="D778" s="7" t="n">
        <f>HYPERLINK("https://www.somogyi.sk/product/solarna-zahradna-fakla-12-ks-displej-mx301-18996","https://www.somogyi.sk/product/solarna-zahradna-fakla-12-ks-displej-mx301-18996")</f>
        <v>0.0</v>
      </c>
      <c r="E778" s="7" t="n">
        <f>HYPERLINK("https://www.somogyi.sk/data/img/product_main_images/small/18996.jpg","https://www.somogyi.sk/data/img/product_main_images/small/18996.jpg")</f>
        <v>0.0</v>
      </c>
      <c r="F778" s="2" t="inlineStr">
        <is>
          <t>5999084969905</t>
        </is>
      </c>
      <c r="G778" s="4" t="inlineStr">
        <is>
          <t xml:space="preserve"> • materiál: plast 
 • farba: čierna 
 • farba LED: žltá 
 • počet LED: 12 ks SMD LED 
 • za- / vypínanie: manuálne / automatické 
 • možnosť zapichnutia do zeme: áno 
 • napájanie: zabudovaný akumulátor (1 x 1,2V 2/3 AAA (Ni-MH), 200 mAh) 
 • rozmery: ∅7,5 x 50 cm 
 • hmotnosť: 110 g 
 • umiestnenie: na vonkajšie použitie 
 • balenie: 12 ks/displej</t>
        </is>
      </c>
    </row>
    <row r="779">
      <c r="A779" s="3" t="inlineStr">
        <is>
          <t>MX671N</t>
        </is>
      </c>
      <c r="B779" s="2" t="inlineStr">
        <is>
          <t>Solárne záhradné svietidlo, zajac, možno zapichnúť do zeme</t>
        </is>
      </c>
      <c r="C779" s="1" t="n">
        <v>7.79</v>
      </c>
      <c r="D779" s="7" t="n">
        <f>HYPERLINK("https://www.somogyi.sk/product/solarne-zahradne-svietidlo-zajac-mozno-zapichnut-do-zeme-mx671n-19019","https://www.somogyi.sk/product/solarne-zahradne-svietidlo-zajac-mozno-zapichnut-do-zeme-mx671n-19019")</f>
        <v>0.0</v>
      </c>
      <c r="E779" s="7" t="n">
        <f>HYPERLINK("https://www.somogyi.sk/data/img/product_main_images/small/19019.jpg","https://www.somogyi.sk/data/img/product_main_images/small/19019.jpg")</f>
        <v>0.0</v>
      </c>
      <c r="F779" s="2" t="inlineStr">
        <is>
          <t>5999084970130</t>
        </is>
      </c>
      <c r="G779" s="4" t="inlineStr">
        <is>
          <t xml:space="preserve"> • farba LED: teplá biela 
 • počet LED: 1 ks 
 • za- / vypínanie: manuálna / automatická 
 • možnosť zapichnutia do zeme: áno 
 • napájanie: zabudovaný akumulátor (1 x 1,2V AAA (Ni-MH), 300 mAh) 
 • rozmery: 6,3 x 5,5 x 8,3 cm   27 cm tyč so zapichovacím prvkom 
 • hmotnosť: 170 g</t>
        </is>
      </c>
    </row>
    <row r="780">
      <c r="A780" s="3" t="inlineStr">
        <is>
          <t>FLP300SOLAR</t>
        </is>
      </c>
      <c r="B780" s="2" t="inlineStr">
        <is>
          <t>Solárny LED reflektor so senzorom pohybu</t>
        </is>
      </c>
      <c r="C780" s="1" t="n">
        <v>14.99</v>
      </c>
      <c r="D780" s="7" t="n">
        <f>HYPERLINK("https://www.somogyi.sk/product/solarny-led-reflektor-so-senzorom-pohybu-flp300solar-18345","https://www.somogyi.sk/product/solarny-led-reflektor-so-senzorom-pohybu-flp300solar-18345")</f>
        <v>0.0</v>
      </c>
      <c r="E780" s="7" t="n">
        <f>HYPERLINK("https://www.somogyi.sk/data/img/product_main_images/small/18345.jpg","https://www.somogyi.sk/data/img/product_main_images/small/18345.jpg")</f>
        <v>0.0</v>
      </c>
      <c r="F780" s="2" t="inlineStr">
        <is>
          <t>5999084963637</t>
        </is>
      </c>
      <c r="G780" s="4" t="inlineStr">
        <is>
          <t xml:space="preserve"> • materiál: plast 
 • farba LED: studená biela 
 • počet LED: 36 ks 
 • za- / vypínanie: manuálny / automatický 
 • možnosť montáže na stenu: áno 
 • napájanie: zabudovaný 1x 3.7 V 18650 Li-ion 2000 mAh akumulátor 
 • rozmery: 19 x 3 x 10,8 cm 
 • svietivosť: 300 lm 
 • teplota farby: 10000 K 
 • ochrana proti vode: IP44: ochrana voči striekajúcej vode z každého smeru 
 • PIR senzor pohybu: detekčný uhol: 120°, max. 5 m 
 • ďalšie informácie: inštalačné prvky sú príslušenstvom</t>
        </is>
      </c>
    </row>
    <row r="781">
      <c r="A781" s="3" t="inlineStr">
        <is>
          <t>MX810</t>
        </is>
      </c>
      <c r="B781" s="2" t="inlineStr">
        <is>
          <t>Solárne záhradné svietidlo, 12 ks displej</t>
        </is>
      </c>
      <c r="C781" s="1" t="n">
        <v>2.19</v>
      </c>
      <c r="D781" s="7" t="n">
        <f>HYPERLINK("https://www.somogyi.sk/product/solarne-zahradne-svietidlo-12-ks-displej-mx810-18342","https://www.somogyi.sk/product/solarne-zahradne-svietidlo-12-ks-displej-mx810-18342")</f>
        <v>0.0</v>
      </c>
      <c r="E781" s="7" t="n">
        <f>HYPERLINK("https://www.somogyi.sk/data/img/product_main_images/small/18342.jpg","https://www.somogyi.sk/data/img/product_main_images/small/18342.jpg")</f>
        <v>0.0</v>
      </c>
      <c r="F781" s="2" t="inlineStr">
        <is>
          <t>5999084963606</t>
        </is>
      </c>
      <c r="G781" s="4" t="inlineStr">
        <is>
          <t xml:space="preserve"> • materiál: kov / plast 
 • farba LED: studená biela 
 • počet LED: 1 ks 
 • za- / vypínanie: automatický 
 • možnosť zapichnutia do zeme: áno 
 • napájanie: 1,2V 40 mAh HB40 (Ni-MH) akumulátor 
 • rozmery: 4,6 x 4,6 x 15,5 (25,5) cm 
 • ochrana proti vode: IP44: ochrana voči striekajúcej vode z každého smeru 
 • charakteristiky: zabudovaný solárny panel a nabíjačka akumulátora: cez deň sa nabíja, v noci svieti 
 • umiestnenie: na vonkajšie / vnútorné použitie 
 • balenie: 12 ks/displej</t>
        </is>
      </c>
    </row>
    <row r="782">
      <c r="A782" s="3" t="inlineStr">
        <is>
          <t>MX761</t>
        </is>
      </c>
      <c r="B782" s="2" t="inlineStr">
        <is>
          <t>Solárne záhradné svietidlo, možno zapichnúť do zeme, meniace sa farby, 15 ks displej</t>
        </is>
      </c>
      <c r="C782" s="1" t="n">
        <v>2.29</v>
      </c>
      <c r="D782" s="7" t="n">
        <f>HYPERLINK("https://www.somogyi.sk/product/solarne-zahradne-svietidlo-mozno-zapichnut-do-zeme-meniace-sa-farby-15-ks-displej-mx761-19010","https://www.somogyi.sk/product/solarne-zahradne-svietidlo-mozno-zapichnut-do-zeme-meniace-sa-farby-15-ks-displej-mx761-19010")</f>
        <v>0.0</v>
      </c>
      <c r="E782" s="7" t="n">
        <f>HYPERLINK("https://www.somogyi.sk/data/img/product_main_images/small/19010.jpg","https://www.somogyi.sk/data/img/product_main_images/small/19010.jpg")</f>
        <v>0.0</v>
      </c>
      <c r="F782" s="2" t="inlineStr">
        <is>
          <t>5999084970048</t>
        </is>
      </c>
      <c r="G782" s="4" t="inlineStr">
        <is>
          <t xml:space="preserve"> • materiál: plast 
 • farba: čierna 
 • počet LED: 1 ks 
 • za- / vypínanie: manuálna / automatická 
 • možnosť zapichnutia do zeme: áno 
 • napájanie: zabudovaný akumulátor 1 x 1,2V AAA (Ni-MH), 100 mAh 
 • rozmery: ∅7,5 cm x 29,5 cm so zapichovacím prvkom 
 • hmotnosť: 75 g 
 • balenie: 15 ks / displej</t>
        </is>
      </c>
    </row>
    <row r="783">
      <c r="A783" s="3" t="inlineStr">
        <is>
          <t>MX649M</t>
        </is>
      </c>
      <c r="B783" s="2" t="inlineStr">
        <is>
          <t>Solárne záhradné svietidlo, mačka so žiarovkou</t>
        </is>
      </c>
      <c r="C783" s="1" t="n">
        <v>16.19</v>
      </c>
      <c r="D783" s="7" t="n">
        <f>HYPERLINK("https://www.somogyi.sk/product/solarne-zahradne-svietidlo-macka-so-ziarovkou-mx649m-19018","https://www.somogyi.sk/product/solarne-zahradne-svietidlo-macka-so-ziarovkou-mx649m-19018")</f>
        <v>0.0</v>
      </c>
      <c r="E783" s="7" t="n">
        <f>HYPERLINK("https://www.somogyi.sk/data/img/product_main_images/small/19018.jpg","https://www.somogyi.sk/data/img/product_main_images/small/19018.jpg")</f>
        <v>0.0</v>
      </c>
      <c r="F783" s="2" t="inlineStr">
        <is>
          <t>5999084970123</t>
        </is>
      </c>
      <c r="G783" s="4" t="inlineStr">
        <is>
          <t xml:space="preserve"> • materiál: umelá živica 
 • farba LED: teplá biela 
 • počet LED: 1ks filament LED 
 • za- / vypínanie: manuálne / automatické 
 • napájanie: zabudovaný akumulátor (1 x 1.2V 300 mAh) 
 • rozmery: 26 x 12,5 x 15,5 cm 
 • hmotnosť: 625 g</t>
        </is>
      </c>
    </row>
    <row r="784">
      <c r="A784" s="3" t="inlineStr">
        <is>
          <t>MX 618P</t>
        </is>
      </c>
      <c r="B784" s="2" t="inlineStr">
        <is>
          <t>Solárna záhradná dekorácia</t>
        </is>
      </c>
      <c r="C784" s="1" t="n">
        <v>5.09</v>
      </c>
      <c r="D784" s="7" t="n">
        <f>HYPERLINK("https://www.somogyi.sk/product/solarna-zahradna-dekoracia-mx-618p-16706","https://www.somogyi.sk/product/solarna-zahradna-dekoracia-mx-618p-16706")</f>
        <v>0.0</v>
      </c>
      <c r="E784" s="7" t="n">
        <f>HYPERLINK("https://www.somogyi.sk/data/img/product_main_images/small/16706.jpg","https://www.somogyi.sk/data/img/product_main_images/small/16706.jpg")</f>
        <v>0.0</v>
      </c>
      <c r="F784" s="2" t="inlineStr">
        <is>
          <t>5999084947385</t>
        </is>
      </c>
      <c r="G784" s="4" t="inlineStr">
        <is>
          <t xml:space="preserve"> • materiál: plast 
 • farba LED: biela 
 • počet LED: 1 ks Ø5 mm biela LED 
 • za- / vypínanie: automatický 
 • možnosť zapichnutia do zeme: áno 
 • napájanie: 1,2 V / 200 mAh / AA (NiMH) 
 • rozmery: ~50 cm</t>
        </is>
      </c>
    </row>
    <row r="785">
      <c r="A785" s="3" t="inlineStr">
        <is>
          <t>MX 626/2</t>
        </is>
      </c>
      <c r="B785" s="2" t="inlineStr">
        <is>
          <t>Solárne záhradné svietidlo</t>
        </is>
      </c>
      <c r="C785" s="1" t="n">
        <v>7.99</v>
      </c>
      <c r="D785" s="7" t="n">
        <f>HYPERLINK("https://www.somogyi.sk/product/solarne-zahradne-svietidlo-mx-626-2-17601","https://www.somogyi.sk/product/solarne-zahradne-svietidlo-mx-626-2-17601")</f>
        <v>0.0</v>
      </c>
      <c r="E785" s="7" t="n">
        <f>HYPERLINK("https://www.somogyi.sk/data/img/product_main_images/small/17601.jpg","https://www.somogyi.sk/data/img/product_main_images/small/17601.jpg")</f>
        <v>0.0</v>
      </c>
      <c r="F785" s="2" t="inlineStr">
        <is>
          <t>5999084956233</t>
        </is>
      </c>
      <c r="G785" s="4" t="inlineStr">
        <is>
          <t xml:space="preserve"> • materiál: kov / plast 
 • farba LED: biela 
 • počet LED: 8 bielych SMD LED 
 • za- / vypínanie: automatický 
 • možnosť zapichnutia do zeme: áno 
 • napájanie: zabudovaný (1,2 V / 200 mAh) NiMH akumulátor 
 • rozmery: ∅125 x 20 mm 
 • N/A: cca. 8 h / noc 
 • charakteristiky: prevedenie odolné voči poveternostným podmienkam 
 • balenie: 2 ks / set</t>
        </is>
      </c>
    </row>
    <row r="786">
      <c r="A786" s="3" t="inlineStr">
        <is>
          <t>MX 618K</t>
        </is>
      </c>
      <c r="B786" s="2" t="inlineStr">
        <is>
          <t>Solárna záhradná dekorácia</t>
        </is>
      </c>
      <c r="C786" s="1" t="n">
        <v>5.09</v>
      </c>
      <c r="D786" s="7" t="n">
        <f>HYPERLINK("https://www.somogyi.sk/product/solarna-zahradna-dekoracia-mx-618k-16707","https://www.somogyi.sk/product/solarna-zahradna-dekoracia-mx-618k-16707")</f>
        <v>0.0</v>
      </c>
      <c r="E786" s="7" t="n">
        <f>HYPERLINK("https://www.somogyi.sk/data/img/product_main_images/small/16707.jpg","https://www.somogyi.sk/data/img/product_main_images/small/16707.jpg")</f>
        <v>0.0</v>
      </c>
      <c r="F786" s="2" t="inlineStr">
        <is>
          <t>5999084947392</t>
        </is>
      </c>
      <c r="G786" s="4" t="inlineStr">
        <is>
          <t xml:space="preserve"> • materiál: plast 
 • farba LED: biela 
 • počet LED: 1 ks Ø5 mm biela LED 
 • za- / vypínanie: automatický 
 • možnosť zapichnutia do zeme: áno 
 • napájanie: 1,2 V / 200 mAh / AA (NiMH) 
 • rozmery: ~50 cm</t>
        </is>
      </c>
    </row>
    <row r="787">
      <c r="A787" s="3" t="inlineStr">
        <is>
          <t>MX670</t>
        </is>
      </c>
      <c r="B787" s="2" t="inlineStr">
        <is>
          <t>Solárne záhradné svietidlo, zvieratká, 12 ks displej</t>
        </is>
      </c>
      <c r="C787" s="1" t="n">
        <v>4.09</v>
      </c>
      <c r="D787" s="7" t="n">
        <f>HYPERLINK("https://www.somogyi.sk/product/solarne-zahradne-svietidlo-zvieratka-12-ks-displej-mx670-19000","https://www.somogyi.sk/product/solarne-zahradne-svietidlo-zvieratka-12-ks-displej-mx670-19000")</f>
        <v>0.0</v>
      </c>
      <c r="E787" s="7" t="n">
        <f>HYPERLINK("https://www.somogyi.sk/data/img/product_main_images/small/19000.jpg","https://www.somogyi.sk/data/img/product_main_images/small/19000.jpg")</f>
        <v>0.0</v>
      </c>
      <c r="F787" s="2" t="inlineStr">
        <is>
          <t>5999084969943</t>
        </is>
      </c>
      <c r="G787" s="4" t="inlineStr">
        <is>
          <t xml:space="preserve"> • farba LED: teplá biela 
 • počet LED: 2 ks 
 • za- / vypínanie: manuálna / automatická 
 • napájanie: zabudovaný akumulátor (1 x 1,2V gombíková batéria, 40 mAh) 
 • rozmery: 6,3 x 5,5 x 8,3 cm / 6,3 x 5,5 x 8,3 cm / 6,7 x 4 x 8,7 cm 
 • hmotnosť: 105g / 105g / 120g 
 • balenie: 12 ks / displej</t>
        </is>
      </c>
    </row>
    <row r="788">
      <c r="A788" s="3" t="inlineStr">
        <is>
          <t>MX 618S</t>
        </is>
      </c>
      <c r="B788" s="2" t="inlineStr">
        <is>
          <t>Solárna záhradná dekorácia</t>
        </is>
      </c>
      <c r="C788" s="1" t="n">
        <v>5.09</v>
      </c>
      <c r="D788" s="7" t="n">
        <f>HYPERLINK("https://www.somogyi.sk/product/solarna-zahradna-dekoracia-mx-618s-16712","https://www.somogyi.sk/product/solarna-zahradna-dekoracia-mx-618s-16712")</f>
        <v>0.0</v>
      </c>
      <c r="E788" s="7" t="n">
        <f>HYPERLINK("https://www.somogyi.sk/data/img/product_main_images/small/16712.jpg","https://www.somogyi.sk/data/img/product_main_images/small/16712.jpg")</f>
        <v>0.0</v>
      </c>
      <c r="F788" s="2" t="inlineStr">
        <is>
          <t>5999084947446</t>
        </is>
      </c>
      <c r="G788" s="4" t="inlineStr">
        <is>
          <t xml:space="preserve"> • materiál: plast 
 • farba LED: biela 
 • počet LED: 1 ks Ø5 mm biela LED 
 • za- / vypínanie: automatický 
 • možnosť zapichnutia do zeme: áno 
 • napájanie: 1,2 V / 600 mAh / AA (NiMH) akumulátor 
 • rozmery: ~50 cm</t>
        </is>
      </c>
    </row>
    <row r="789">
      <c r="A789" s="3" t="inlineStr">
        <is>
          <t>MX 623</t>
        </is>
      </c>
      <c r="B789" s="2" t="inlineStr">
        <is>
          <t>Solárne záhradné svietidlo</t>
        </is>
      </c>
      <c r="C789" s="1" t="n">
        <v>7.29</v>
      </c>
      <c r="D789" s="7" t="n">
        <f>HYPERLINK("https://www.somogyi.sk/product/solarne-zahradne-svietidlo-mx-623-16714","https://www.somogyi.sk/product/solarne-zahradne-svietidlo-mx-623-16714")</f>
        <v>0.0</v>
      </c>
      <c r="E789" s="7" t="n">
        <f>HYPERLINK("https://www.somogyi.sk/data/img/product_main_images/small/16714.jpg","https://www.somogyi.sk/data/img/product_main_images/small/16714.jpg")</f>
        <v>0.0</v>
      </c>
      <c r="F789" s="2" t="inlineStr">
        <is>
          <t>5999084947460</t>
        </is>
      </c>
      <c r="G789" s="4" t="inlineStr">
        <is>
          <t xml:space="preserve"> • materiál: sklo, plast 
 • farba LED: rôzne 
 • počet LED: 20 ks micro LED 
 • za- / vypínanie: automatický 
 • možnosť zapichnutia do zeme: áno 
 •  
 • napájanie: zabudovaný (1,2 V / 600 mAh) akumulátor 
 • rozmery: ∅9 x 85 cm</t>
        </is>
      </c>
    </row>
    <row r="790">
      <c r="A790" s="3" t="inlineStr">
        <is>
          <t>MX 637</t>
        </is>
      </c>
      <c r="B790" s="2" t="inlineStr">
        <is>
          <t>Solárne záhradné svietidlo, sova</t>
        </is>
      </c>
      <c r="C790" s="1" t="n">
        <v>15.59</v>
      </c>
      <c r="D790" s="7" t="n">
        <f>HYPERLINK("https://www.somogyi.sk/product/solarne-zahradne-svietidlo-sova-mx-637-17603","https://www.somogyi.sk/product/solarne-zahradne-svietidlo-sova-mx-637-17603")</f>
        <v>0.0</v>
      </c>
      <c r="E790" s="7" t="n">
        <f>HYPERLINK("https://www.somogyi.sk/data/img/product_main_images/small/17603.jpg","https://www.somogyi.sk/data/img/product_main_images/small/17603.jpg")</f>
        <v>0.0</v>
      </c>
      <c r="F790" s="2" t="inlineStr">
        <is>
          <t>5999084956257</t>
        </is>
      </c>
      <c r="G790" s="4" t="inlineStr">
        <is>
          <t xml:space="preserve"> • materiál: umelá živica / plast 
 • farba LED: teplá biela 
 • počet LED: 1 ks 
 • za- / vypínanie: automatický 
 • funkcia: vstavaný solárny panel a nabíjačka akumulátora: cez deň sa nabíja, v noci svieti 
 • napájanie: vymeniteľný (1,2 V / 200 mAh) AA Ni-Mh akumulátor 
 • rozmery: 17,5 x 23 x 15 cm 
 • N/A: cca. 8 h / noc 
 • ochrana proti vode: IP44 
 • charakteristiky: prevedenie odolné voči poveternostným podmienkam 
 • umiestnenie: na vonkajšie / vnútorné použitie</t>
        </is>
      </c>
    </row>
    <row r="791">
      <c r="A791" s="3" t="inlineStr">
        <is>
          <t>MX 650</t>
        </is>
      </c>
      <c r="B791" s="2" t="inlineStr">
        <is>
          <t>Solárne záhradné svietidlo</t>
        </is>
      </c>
      <c r="C791" s="1" t="n">
        <v>5.09</v>
      </c>
      <c r="D791" s="7" t="n">
        <f>HYPERLINK("https://www.somogyi.sk/product/solarne-zahradne-svietidlo-mx-650-16715","https://www.somogyi.sk/product/solarne-zahradne-svietidlo-mx-650-16715")</f>
        <v>0.0</v>
      </c>
      <c r="E791" s="7" t="n">
        <f>HYPERLINK("https://www.somogyi.sk/data/img/product_main_images/small/16715.jpg","https://www.somogyi.sk/data/img/product_main_images/small/16715.jpg")</f>
        <v>0.0</v>
      </c>
      <c r="F791" s="2" t="inlineStr">
        <is>
          <t>5999084947477</t>
        </is>
      </c>
      <c r="G791" s="4" t="inlineStr">
        <is>
          <t xml:space="preserve"> • materiál: plast 
 • farba LED: biela 
 • počet LED: 3 biele LED s vysokou svietivosťou 
 • za- / vypínanie: automatický 
 • napájanie: zabudovaný (1,2 V / 600 mAh) NiMH akumulátor 
 • rozmery: ∅12 (17) x 6 cm</t>
        </is>
      </c>
    </row>
    <row r="792">
      <c r="A792" s="3" t="inlineStr">
        <is>
          <t>MX 642</t>
        </is>
      </c>
      <c r="B792" s="2" t="inlineStr">
        <is>
          <t>Solárne záhradné svietidlo, žaba</t>
        </is>
      </c>
      <c r="C792" s="1" t="n">
        <v>15.39</v>
      </c>
      <c r="D792" s="7" t="n">
        <f>HYPERLINK("https://www.somogyi.sk/product/solarne-zahradne-svietidlo-zaba-mx-642-17604","https://www.somogyi.sk/product/solarne-zahradne-svietidlo-zaba-mx-642-17604")</f>
        <v>0.0</v>
      </c>
      <c r="E792" s="7" t="n">
        <f>HYPERLINK("https://www.somogyi.sk/data/img/product_main_images/small/17604.jpg","https://www.somogyi.sk/data/img/product_main_images/small/17604.jpg")</f>
        <v>0.0</v>
      </c>
      <c r="F792" s="2" t="inlineStr">
        <is>
          <t>5999084956264</t>
        </is>
      </c>
      <c r="G792" s="4" t="inlineStr">
        <is>
          <t xml:space="preserve"> • materiál: umelá živica / plast 
 • farba LED: teplá biela 
 • počet LED: 1 ks 
 • za- / vypínanie: automatický 
 • funkcia: vstavaný solárny panel a nabíjačka akumulátora: cez deň sa nabíja, v noci svieti 
 • napájanie: vymeniteľný (1,2 V / 200 mAh) AA Ni-Mh akumulátor 
 • rozmery: 17,5 x 23 x 15 cm 
 • N/A: cca. 8 h / noc 
 • ochrana proti vode: IP44 
 • charakteristiky: prevedenie odolné voči poveternostným podmienkam 
 • umiestnenie: na vonkajšie / vnútorné použitie</t>
        </is>
      </c>
    </row>
    <row r="793">
      <c r="A793" s="3" t="inlineStr">
        <is>
          <t>MX 651</t>
        </is>
      </c>
      <c r="B793" s="2" t="inlineStr">
        <is>
          <t>Solárne záhradné svietidlo</t>
        </is>
      </c>
      <c r="C793" s="1" t="n">
        <v>11.19</v>
      </c>
      <c r="D793" s="7" t="n">
        <f>HYPERLINK("https://www.somogyi.sk/product/solarne-zahradne-svietidlo-mx-651-17600","https://www.somogyi.sk/product/solarne-zahradne-svietidlo-mx-651-17600")</f>
        <v>0.0</v>
      </c>
      <c r="E793" s="7" t="n">
        <f>HYPERLINK("https://www.somogyi.sk/data/img/product_main_images/small/17600.jpg","https://www.somogyi.sk/data/img/product_main_images/small/17600.jpg")</f>
        <v>0.0</v>
      </c>
      <c r="F793" s="2" t="inlineStr">
        <is>
          <t>5999084956226</t>
        </is>
      </c>
      <c r="G793" s="4" t="inlineStr">
        <is>
          <t xml:space="preserve"> • materiál: plast 
 • farba LED: teplá biela 
 • počet LED: 1 SMD LED 
 • za- / vypínanie: manuálna / automatická 
 • možnosť montáže na stenu: áno 
 • napájanie: vymeniteľný (3,2 V / 800 mAh) LiFePO akumulátor 
 • rozmery: 10 x 10 x 10 cm</t>
        </is>
      </c>
    </row>
    <row r="794">
      <c r="A794" s="3" t="inlineStr">
        <is>
          <t>MX626WW</t>
        </is>
      </c>
      <c r="B794" s="2" t="inlineStr">
        <is>
          <t>Solárne záhradné svietidlo, 2 ks sada</t>
        </is>
      </c>
      <c r="C794" s="1" t="n">
        <v>6.69</v>
      </c>
      <c r="D794" s="7" t="n">
        <f>HYPERLINK("https://www.somogyi.sk/product/solarne-zahradne-svietidlo-2-ks-sada-mx626ww-18997","https://www.somogyi.sk/product/solarne-zahradne-svietidlo-2-ks-sada-mx626ww-18997")</f>
        <v>0.0</v>
      </c>
      <c r="E794" s="7" t="n">
        <f>HYPERLINK("https://www.somogyi.sk/data/img/product_main_images/small/18997.jpg","https://www.somogyi.sk/data/img/product_main_images/small/18997.jpg")</f>
        <v>0.0</v>
      </c>
      <c r="F794" s="2" t="inlineStr">
        <is>
          <t>5999084969912</t>
        </is>
      </c>
      <c r="G794" s="4" t="inlineStr">
        <is>
          <t xml:space="preserve"> • farba LED: teplá biela 
 • počet LED: 8 db 
 • za- / vypínanie: automatický 
 • možnosť zapichnutia do zeme: áno 
 • napájanie: zabudovaný (1,2 V / 200 mAh) NiMH akumulátor 
 • rozmery: ∅12cm x 14cm (zapichovací hrot) 
 • hmotnosť: 87 g 
 • balenie: 2 ks / set</t>
        </is>
      </c>
    </row>
    <row r="795">
      <c r="A795" s="3" t="inlineStr">
        <is>
          <t>MX205</t>
        </is>
      </c>
      <c r="B795" s="2" t="inlineStr">
        <is>
          <t>Solárny lampión, 3 ks sada</t>
        </is>
      </c>
      <c r="C795" s="1" t="n">
        <v>8.29</v>
      </c>
      <c r="D795" s="7" t="n">
        <f>HYPERLINK("https://www.somogyi.sk/product/solarny-lampion-3-ks-sada-mx205-19011","https://www.somogyi.sk/product/solarny-lampion-3-ks-sada-mx205-19011")</f>
        <v>0.0</v>
      </c>
      <c r="E795" s="7" t="n">
        <f>HYPERLINK("https://www.somogyi.sk/data/img/product_main_images/small/19011.jpg","https://www.somogyi.sk/data/img/product_main_images/small/19011.jpg")</f>
        <v>0.0</v>
      </c>
      <c r="F795" s="2" t="inlineStr">
        <is>
          <t>5999084970055</t>
        </is>
      </c>
      <c r="G795" s="4" t="inlineStr">
        <is>
          <t xml:space="preserve"> • farba LED: teplá biela 
 • počet LED: 1 ks / lampión 
 • za- / vypínanie: manuálne / automatické 
 • závesné: áno 
 • napájanie: zabudovaný 1,2 V / 40 mAh Ni-MH gombíkový akumulátor 
 • rozmery: ∅10 x 11,5 cm 
 • hmotnosť: 30 g</t>
        </is>
      </c>
    </row>
    <row r="796">
      <c r="A796" s="3" t="inlineStr">
        <is>
          <t>FLP1002SOLAR</t>
        </is>
      </c>
      <c r="B796" s="2" t="inlineStr">
        <is>
          <t>Solárny LED reflektor so senzorom pohybu</t>
        </is>
      </c>
      <c r="C796" s="1" t="n">
        <v>45.09</v>
      </c>
      <c r="D796" s="7" t="n">
        <f>HYPERLINK("https://www.somogyi.sk/product/solarny-led-reflektor-so-senzorom-pohybu-flp1002solar-18347","https://www.somogyi.sk/product/solarny-led-reflektor-so-senzorom-pohybu-flp1002solar-18347")</f>
        <v>0.0</v>
      </c>
      <c r="E796" s="7" t="n">
        <f>HYPERLINK("https://www.somogyi.sk/data/img/product_main_images/small/18347.jpg","https://www.somogyi.sk/data/img/product_main_images/small/18347.jpg")</f>
        <v>0.0</v>
      </c>
      <c r="F796" s="2" t="inlineStr">
        <is>
          <t>5999084963651</t>
        </is>
      </c>
      <c r="G796" s="4" t="inlineStr">
        <is>
          <t xml:space="preserve"> • materiál: kov / plast 
 • farba LED: studená biela 
 • počet LED: 2 x 28 ks 
 • za- / vypínanie: automatický 
 • napájanie: 2 x 3.7V 18650 Li-ion 2000 mAh akumulátor 
 • rozmery: 21,5 x 6,5 x 47 cm 
 • hmotnosť: 1,2 kg 
 • svietivosť: 1000 lm 
 • teplota farby: 6000 K 
 • ochrana proti vode: IP44: ochrana voči striekajúcej vode z každého smeru 
 • PIR senzor pohybu: detekčný uhol: 120°, 5 m 
 •  
 • ďalšie informácie: inštalačné prvky sú príslušenstvom</t>
        </is>
      </c>
    </row>
    <row r="797">
      <c r="A797" s="3" t="inlineStr">
        <is>
          <t>MX 762/2</t>
        </is>
      </c>
      <c r="B797" s="2" t="inlineStr">
        <is>
          <t>Solárne záhradné svietidlo (2 ks)</t>
        </is>
      </c>
      <c r="C797" s="1" t="n">
        <v>12.09</v>
      </c>
      <c r="D797" s="7" t="n">
        <f>HYPERLINK("https://www.somogyi.sk/product/solarne-zahradne-svietidlo-2-ks-mx-762-2-17979","https://www.somogyi.sk/product/solarne-zahradne-svietidlo-2-ks-mx-762-2-17979")</f>
        <v>0.0</v>
      </c>
      <c r="E797" s="7" t="n">
        <f>HYPERLINK("https://www.somogyi.sk/data/img/product_main_images/small/17979.jpg","https://www.somogyi.sk/data/img/product_main_images/small/17979.jpg")</f>
        <v>0.0</v>
      </c>
      <c r="F797" s="2" t="inlineStr">
        <is>
          <t>5999084960018</t>
        </is>
      </c>
      <c r="G797" s="4" t="inlineStr">
        <is>
          <t xml:space="preserve"> • počet LED: 1 ks 
 • za- / vypínanie: automatické 
 • možnosť zapichnutia do zeme: áno 
 • napájanie: zabudovaný (1,2 V AA / 200 mAh) NiMH akumulátor 
 • rozmery: Ø12,5 x 36,6 cm 
 •  
 • charakteristiky: prevedenie odolné voči poveternostným podmienkam 
 • balenie: 2 ks / balenie</t>
        </is>
      </c>
    </row>
    <row r="798">
      <c r="A798" s="3" t="inlineStr">
        <is>
          <t>SML100WW</t>
        </is>
      </c>
      <c r="B798" s="2" t="inlineStr">
        <is>
          <t>Svietiaci reťazec solárny micro LED</t>
        </is>
      </c>
      <c r="C798" s="1" t="n">
        <v>10.39</v>
      </c>
      <c r="D798" s="7" t="n">
        <f>HYPERLINK("https://www.somogyi.sk/product/svietiaci-retazec-solarny-micro-led-sml100ww-18599","https://www.somogyi.sk/product/svietiaci-retazec-solarny-micro-led-sml100ww-18599")</f>
        <v>0.0</v>
      </c>
      <c r="E798" s="7" t="n">
        <f>HYPERLINK("https://www.somogyi.sk/data/img/product_main_images/small/18599.jpg","https://www.somogyi.sk/data/img/product_main_images/small/18599.jpg")</f>
        <v>0.0</v>
      </c>
      <c r="F798" s="2" t="inlineStr">
        <is>
          <t>5999084966171</t>
        </is>
      </c>
      <c r="G798" s="4" t="inlineStr">
        <is>
          <t xml:space="preserve"> • farba LED: teplá biela 
 • počet LED: 100 ks 
 • za- / vypínanie: manuálny 
 • možnosť zapichnutia do zeme: áno 
 • možnosť montáže na stenu: áno 
 • napájanie: vymeniteľný akumulátor (1 x 600 mAh Ni-MH, je príslušenstvom) 
 • dĺžka kábla: 5 m dĺžka reťazca (vzdialenosť medzi LED: 5 cm)   1 m napájací kábel k solárnemu panelu 
 • farba kábla: priesvitný 
 • N/A: max. 8 h 
 • ochrana proti vode: IP44 
 • umiestnenie: na vonkajšie / vnútorné použitie</t>
        </is>
      </c>
    </row>
    <row r="799">
      <c r="A799" s="3" t="inlineStr">
        <is>
          <t>CDS 93</t>
        </is>
      </c>
      <c r="B799" s="2" t="inlineStr">
        <is>
          <t>Solárna sviečka</t>
        </is>
      </c>
      <c r="C799" s="1" t="n">
        <v>12.69</v>
      </c>
      <c r="D799" s="7" t="n">
        <f>HYPERLINK("https://www.somogyi.sk/product/solarna-sviecka-cds-93-17606","https://www.somogyi.sk/product/solarna-sviecka-cds-93-17606")</f>
        <v>0.0</v>
      </c>
      <c r="E799" s="7" t="n">
        <f>HYPERLINK("https://www.somogyi.sk/data/img/product_main_images/small/17606.jpg","https://www.somogyi.sk/data/img/product_main_images/small/17606.jpg")</f>
        <v>0.0</v>
      </c>
      <c r="F799" s="2" t="inlineStr">
        <is>
          <t>5999084956288</t>
        </is>
      </c>
      <c r="G799" s="4" t="inlineStr">
        <is>
          <t xml:space="preserve"> • materiál: kov / plast 
 • farba LED: oranžová 
 • počet LED: 1 ks 
 • za- / vypínanie: automatický 
 • možnosť umiestnenia na stôl: áno 
 • napájanie: vymeniteľný (1,2 V / 100 mAh) AAA akumulátor 
 • rozmery: ∅6 x 9 cm</t>
        </is>
      </c>
    </row>
    <row r="800">
      <c r="A800" s="3" t="inlineStr">
        <is>
          <t>MX 811/4</t>
        </is>
      </c>
      <c r="B800" s="2" t="inlineStr">
        <is>
          <t xml:space="preserve">Solárne záhradné svietidlo, kovové, farbu meniace, 4ks </t>
        </is>
      </c>
      <c r="C800" s="1" t="n">
        <v>14.39</v>
      </c>
      <c r="D800" s="7" t="n">
        <f>HYPERLINK("https://www.somogyi.sk/product/solarne-zahradne-svietidlo-kovove-farbu-meniace-4ks-mx-811-4-14415","https://www.somogyi.sk/product/solarne-zahradne-svietidlo-kovove-farbu-meniace-4ks-mx-811-4-14415")</f>
        <v>0.0</v>
      </c>
      <c r="E800" s="7" t="n">
        <f>HYPERLINK("https://www.somogyi.sk/data/img/product_main_images/small/14415.jpg","https://www.somogyi.sk/data/img/product_main_images/small/14415.jpg")</f>
        <v>0.0</v>
      </c>
      <c r="F800" s="2" t="inlineStr">
        <is>
          <t>5999084924638</t>
        </is>
      </c>
      <c r="G800" s="4" t="inlineStr">
        <is>
          <t xml:space="preserve"> • materiál: kov / sklo / plast 
 • farba LED: farbu meniaca 
 • počet LED: 1 
 • za- / vypínanie: automatické 
 • možnosť zapichnutia do zeme: áno 
 • možnosť montáže na stenu: nie 
 • závesné: nie 
 • možnosť umiestnenia na stôl: nie 
 • zabudovateľné: nie 
 • napájanie: vymeniteľný (1,2 V / 300 mAh) AAA NiMH akumulátor 
 • rozmery: Ø8 x 37 cm 
 • hmotnosť: 0,8 kg</t>
        </is>
      </c>
    </row>
    <row r="801">
      <c r="A801" s="3" t="inlineStr">
        <is>
          <t>MXLTN1</t>
        </is>
      </c>
      <c r="B801" s="2" t="inlineStr">
        <is>
          <t>Solárny lampáš, 6 ks displej</t>
        </is>
      </c>
      <c r="C801" s="1" t="n">
        <v>5.79</v>
      </c>
      <c r="D801" s="7" t="n">
        <f>HYPERLINK("https://www.somogyi.sk/product/solarny-lampas-6-ks-displej-mxltn1-19013","https://www.somogyi.sk/product/solarny-lampas-6-ks-displej-mxltn1-19013")</f>
        <v>0.0</v>
      </c>
      <c r="E801" s="7" t="n">
        <f>HYPERLINK("https://www.somogyi.sk/data/img/product_main_images/small/19013.jpg","https://www.somogyi.sk/data/img/product_main_images/small/19013.jpg")</f>
        <v>0.0</v>
      </c>
      <c r="F801" s="2" t="inlineStr">
        <is>
          <t>5999084970079</t>
        </is>
      </c>
      <c r="G801" s="4" t="inlineStr">
        <is>
          <t xml:space="preserve"> • materiál: plast 
 • farba LED: teplá biela 
 • počet LED: 1 
 • za- / vypínanie: manuálne 
 • závesné: áno 
 • možnosť umiestnenia na stôl: áno 
 • funkcia: vstavaný solárny panel a nabíjačka akumulátora: cez deň sa nabíja, v noci svieti 
 • napájanie: 1,2V, 300mAh 2/3AA Ni-MH akumulátor 
 • rozmery: 10,5 x 10,5 x 23,5 cm 
 • hmotnosť: 339 g 
 • umiestnenie: na vonkajšie / vnútorné použitie 
 • ďalšie informácie: prevedenie odolné voči poveternostným podmienkam</t>
        </is>
      </c>
    </row>
    <row r="802">
      <c r="A802" s="3" t="inlineStr">
        <is>
          <t>MX 200</t>
        </is>
      </c>
      <c r="B802" s="2" t="inlineStr">
        <is>
          <t>Solárne záhradné svietidlo, fakľa</t>
        </is>
      </c>
      <c r="C802" s="1" t="n">
        <v>10.89</v>
      </c>
      <c r="D802" s="7" t="n">
        <f>HYPERLINK("https://www.somogyi.sk/product/solarne-zahradne-svietidlo-fakla-mx-200-16743","https://www.somogyi.sk/product/solarne-zahradne-svietidlo-fakla-mx-200-16743")</f>
        <v>0.0</v>
      </c>
      <c r="E802" s="7" t="n">
        <f>HYPERLINK("https://www.somogyi.sk/data/img/product_main_images/small/16743.jpg","https://www.somogyi.sk/data/img/product_main_images/small/16743.jpg")</f>
        <v>0.0</v>
      </c>
      <c r="F802" s="2" t="inlineStr">
        <is>
          <t>5999084947750</t>
        </is>
      </c>
      <c r="G802" s="4" t="inlineStr">
        <is>
          <t xml:space="preserve"> • materiál: plast 
 • farba: čierna 
 • farba LED: žltá 
 • počet LED: 12 ks 
 • za- / vypínanie: automatický 
 • možnosť zapichnutia do zeme: áno 
 • možnosť montáže na stenu: áno 
 • možnosť umiestnenia na stôl: áno 
 • funkcia: vstavaný solárny panel a nabíjačka akumulátora: cez deň sa nabíja, v noci svieti 
 • napájanie: zabudovaný (1,2 V / 200 mAh) NiMH akumulátor 
 • rozmery: ∅10 x 51 cm 
 • N/A: cca. 4-6 h/noc 
 • umiestnenie: na vonkajšie / vnútorné použitie 
 • ďalšie informácie: prevedenie odolné voči poveternostným podmienkam</t>
        </is>
      </c>
    </row>
    <row r="803">
      <c r="A803" s="3" t="inlineStr">
        <is>
          <t>MX 632C</t>
        </is>
      </c>
      <c r="B803" s="2" t="inlineStr">
        <is>
          <t>Solárne svietidlo, trpaslík</t>
        </is>
      </c>
      <c r="C803" s="1" t="n">
        <v>15.99</v>
      </c>
      <c r="D803" s="7" t="n">
        <f>HYPERLINK("https://www.somogyi.sk/product/solarne-svietidlo-trpaslik-mx-632c-7194","https://www.somogyi.sk/product/solarne-svietidlo-trpaslik-mx-632c-7194")</f>
        <v>0.0</v>
      </c>
      <c r="E803" s="7" t="n">
        <f>HYPERLINK("https://www.somogyi.sk/data/img/product_main_images/small/07194.jpg","https://www.somogyi.sk/data/img/product_main_images/small/07194.jpg")</f>
        <v>0.0</v>
      </c>
      <c r="F803" s="2" t="inlineStr">
        <is>
          <t>5998312761861</t>
        </is>
      </c>
      <c r="G803" s="4" t="inlineStr">
        <is>
          <t xml:space="preserve"> • materiál: polyresin 
 • farba LED: farbu meniaca 
 • počet LED: 1 
 • za- / vypínanie: manuálne, automatické 
 • možnosť zapichnutia do zeme: nie 
 • možnosť montáže na stenu: nie 
 • závesné: nie 
 • možnosť umiestnenia na stôl: áno 
 • zabudovateľné: nie 
 • napájanie: vymeniteľný (1,2 V / 600 mAh) AA NiMH akumulátor 
 • rozmery: 25 cm 
 • hmotnosť: 1,2 kg</t>
        </is>
      </c>
    </row>
    <row r="804">
      <c r="A804" s="3" t="inlineStr">
        <is>
          <t>MX649S</t>
        </is>
      </c>
      <c r="B804" s="2" t="inlineStr">
        <is>
          <t>Solárne záhradné svietidlo, ježko so žiarovkou</t>
        </is>
      </c>
      <c r="C804" s="1" t="n">
        <v>15.69</v>
      </c>
      <c r="D804" s="7" t="n">
        <f>HYPERLINK("https://www.somogyi.sk/product/solarne-zahradne-svietidlo-jezko-so-ziarovkou-mx649s-18999","https://www.somogyi.sk/product/solarne-zahradne-svietidlo-jezko-so-ziarovkou-mx649s-18999")</f>
        <v>0.0</v>
      </c>
      <c r="E804" s="7" t="n">
        <f>HYPERLINK("https://www.somogyi.sk/data/img/product_main_images/small/18999.jpg","https://www.somogyi.sk/data/img/product_main_images/small/18999.jpg")</f>
        <v>0.0</v>
      </c>
      <c r="F804" s="2" t="inlineStr">
        <is>
          <t>5999084969936</t>
        </is>
      </c>
      <c r="G804" s="4" t="inlineStr">
        <is>
          <t xml:space="preserve"> • farba LED: teplá biela 
 • počet LED: 1 filament LED 
 • za- / vypínanie: manuálna / automatická 
 • napájanie: zabudovaný akumulátor (1 x  AA 1,2 V 300 mAh) 
 • rozmery: 14,5 x 13,5 x 18 cm 
 • hmotnosť: 899 g</t>
        </is>
      </c>
    </row>
    <row r="805">
      <c r="A805" s="3" t="inlineStr">
        <is>
          <t>MX661</t>
        </is>
      </c>
      <c r="B805" s="2" t="inlineStr">
        <is>
          <t>Solárne záhradné svietidlo, kanvica, možno zapichnúť do zeme</t>
        </is>
      </c>
      <c r="C805" s="1" t="n">
        <v>15.99</v>
      </c>
      <c r="D805" s="7" t="n">
        <f>HYPERLINK("https://www.somogyi.sk/product/solarne-zahradne-svietidlo-kanvica-mozno-zapichnut-do-zeme-mx661-19014","https://www.somogyi.sk/product/solarne-zahradne-svietidlo-kanvica-mozno-zapichnut-do-zeme-mx661-19014")</f>
        <v>0.0</v>
      </c>
      <c r="E805" s="7" t="n">
        <f>HYPERLINK("https://www.somogyi.sk/data/img/product_main_images/small/19014.jpg","https://www.somogyi.sk/data/img/product_main_images/small/19014.jpg")</f>
        <v>0.0</v>
      </c>
      <c r="F805" s="2" t="inlineStr">
        <is>
          <t>5999084970086</t>
        </is>
      </c>
      <c r="G805" s="4" t="inlineStr">
        <is>
          <t xml:space="preserve"> • farba LED: teplá biela 
 • počet LED: 1 teplá biela LED   36 teplých bielych microLED 
 • za- / vypínanie: manuálna / automatická 
 • možnosť zapichnutia do zeme: áno 
 • napájanie: zabudovaný akumulátor (1 x 1,2V AA (Ni-MH), 300 mAh) 
 • hmotnosť: 465 g</t>
        </is>
      </c>
    </row>
    <row r="806">
      <c r="A806" s="3" t="inlineStr">
        <is>
          <t>SWF 01</t>
        </is>
      </c>
      <c r="B806" s="2" t="inlineStr">
        <is>
          <t>Solárna záhradná fontána</t>
        </is>
      </c>
      <c r="C806" s="1" t="n">
        <v>12.69</v>
      </c>
      <c r="D806" s="7" t="n">
        <f>HYPERLINK("https://www.somogyi.sk/product/solarna-zahradna-fontana-swf-01-17102","https://www.somogyi.sk/product/solarna-zahradna-fontana-swf-01-17102")</f>
        <v>0.0</v>
      </c>
      <c r="E806" s="7" t="n">
        <f>HYPERLINK("https://www.somogyi.sk/data/img/product_main_images/small/17102.jpg","https://www.somogyi.sk/data/img/product_main_images/small/17102.jpg")</f>
        <v>0.0</v>
      </c>
      <c r="F806" s="2" t="inlineStr">
        <is>
          <t>5999084951344</t>
        </is>
      </c>
      <c r="G806" s="4" t="inlineStr">
        <is>
          <t xml:space="preserve"> • zabudovaná solárna batéria 
 • štyri druhy rozprašovača, sú príslušenstvom 
 • až 40 cm výška vodného prúdu 
 • IP X8 ochrana – vodotesné pre trvalé ponorenie, max. do hĺbky 1 m 
 • automatická prevádzka 
 • nie sú potrebné batérie alebo akumulátor 
 • rozmery: ∅13 x 4 cm</t>
        </is>
      </c>
    </row>
    <row r="807">
      <c r="A807" s="3" t="inlineStr">
        <is>
          <t>MX672</t>
        </is>
      </c>
      <c r="B807" s="2" t="inlineStr">
        <is>
          <t>Solárne záhradné svietidlo, psíky s lampášom, 6 ks / displej</t>
        </is>
      </c>
      <c r="C807" s="1" t="n">
        <v>7.19</v>
      </c>
      <c r="D807" s="7" t="n">
        <f>HYPERLINK("https://www.somogyi.sk/product/solarne-zahradne-svietidlo-psiky-s-lampasom-6-ks-displej-mx672-19002","https://www.somogyi.sk/product/solarne-zahradne-svietidlo-psiky-s-lampasom-6-ks-displej-mx672-19002")</f>
        <v>0.0</v>
      </c>
      <c r="E807" s="7" t="n">
        <f>HYPERLINK("https://www.somogyi.sk/data/img/product_main_images/small/19002.jpg","https://www.somogyi.sk/data/img/product_main_images/small/19002.jpg")</f>
        <v>0.0</v>
      </c>
      <c r="F807" s="2" t="inlineStr">
        <is>
          <t>5999084969967</t>
        </is>
      </c>
      <c r="G807" s="4" t="inlineStr">
        <is>
          <t xml:space="preserve"> • farba LED: teplá biela 
 • počet LED: 1 ks 
 • za- / vypínanie: manuálna / automatická 
 • napájanie: zabudovaný akumulátor (1 x 1,2V gombíková batéria (Ni-MH), 80 mAh) 
 • rozmery: 13,5 x 10 x 15 / 15 x 10 x 15 / 12 x 10,5 x 15 cm 
 • hmotnosť: 272 g / 268 g / 240 g</t>
        </is>
      </c>
    </row>
    <row r="808">
      <c r="A808" s="3" t="inlineStr">
        <is>
          <t>MX 715D</t>
        </is>
      </c>
      <c r="B808" s="2" t="inlineStr">
        <is>
          <t>Solárne záhradné svietidlo, kovové</t>
        </is>
      </c>
      <c r="C808" s="1" t="n">
        <v>5.69</v>
      </c>
      <c r="D808" s="7" t="n">
        <f>HYPERLINK("https://www.somogyi.sk/product/solarne-zahradne-svietidlo-kovove-mx-715d-11810","https://www.somogyi.sk/product/solarne-zahradne-svietidlo-kovove-mx-715d-11810")</f>
        <v>0.0</v>
      </c>
      <c r="E808" s="7" t="n">
        <f>HYPERLINK("https://www.somogyi.sk/data/img/product_main_images/small/11810.jpg","https://www.somogyi.sk/data/img/product_main_images/small/11810.jpg")</f>
        <v>0.0</v>
      </c>
      <c r="F808" s="2" t="inlineStr">
        <is>
          <t>5999084900229</t>
        </is>
      </c>
      <c r="G808" s="4" t="inlineStr">
        <is>
          <t xml:space="preserve"> • materiál: kov, plast 
 • farba LED: biela 
 • počet LED: 1 
 • za- / vypínanie: automatické 
 • možnosť zapichnutia do zeme: áno 
 • možnosť montáže na stenu: nie 
 • závesné: nie 
 • možnosť umiestnenia na stôl: nie 
 • zabudovateľné: nie 
 • napájanie: vymeniteľný (1,2 V / 600 mAh) AA NiMH akumulátor 
 • rozmery: Ø12 x 40 cm 
 • hmotnosť: 0,45 kg</t>
        </is>
      </c>
    </row>
    <row r="809">
      <c r="A809" s="3" t="inlineStr">
        <is>
          <t>FLP30SOLAR</t>
        </is>
      </c>
      <c r="B809" s="2" t="inlineStr">
        <is>
          <t>Solárny LED reflektor so senzorom pohybu</t>
        </is>
      </c>
      <c r="C809" s="1" t="n">
        <v>9.19</v>
      </c>
      <c r="D809" s="7" t="n">
        <f>HYPERLINK("https://www.somogyi.sk/product/solarny-led-reflektor-so-senzorom-pohybu-flp30solar-18344","https://www.somogyi.sk/product/solarny-led-reflektor-so-senzorom-pohybu-flp30solar-18344")</f>
        <v>0.0</v>
      </c>
      <c r="E809" s="7" t="n">
        <f>HYPERLINK("https://www.somogyi.sk/data/img/product_main_images/small/18344.jpg","https://www.somogyi.sk/data/img/product_main_images/small/18344.jpg")</f>
        <v>0.0</v>
      </c>
      <c r="F809" s="2" t="inlineStr">
        <is>
          <t>5999084963620</t>
        </is>
      </c>
      <c r="G809" s="4" t="inlineStr">
        <is>
          <t xml:space="preserve"> • materiál: plast a nehrdzavejúci kov 
 • farba LED: studená biela 
 • počet LED: 2 ks 
 • za- / vypínanie: automatický 
 • možnosť montáže na stenu: áno 
 • napájanie: 1x 3.7 V 14500 Li-ion 500 mAh akumulátor 
 • rozmery: 8 x 5 x 17 cm 
 • N/A: cca. 6 - 8 h 
 • svietivosť: 30 lm 
 • ochrana proti vode: IP44: ochrana voči striekajúcej vode z každého smeru 
 • PIR senzor pohybu: detekčný uhol: 120°, 3-5 m</t>
        </is>
      </c>
    </row>
    <row r="810">
      <c r="A810" s="3" t="inlineStr">
        <is>
          <t>MX671B</t>
        </is>
      </c>
      <c r="B810" s="2" t="inlineStr">
        <is>
          <t>Solárne záhradné svietidlo, sova, možno zapichnúť do zeme</t>
        </is>
      </c>
      <c r="C810" s="1" t="n">
        <v>7.69</v>
      </c>
      <c r="D810" s="7" t="n">
        <f>HYPERLINK("https://www.somogyi.sk/product/solarne-zahradne-svietidlo-sova-mozno-zapichnut-do-zeme-mx671b-19003","https://www.somogyi.sk/product/solarne-zahradne-svietidlo-sova-mozno-zapichnut-do-zeme-mx671b-19003")</f>
        <v>0.0</v>
      </c>
      <c r="E810" s="7" t="n">
        <f>HYPERLINK("https://www.somogyi.sk/data/img/product_main_images/small/19003.jpg","https://www.somogyi.sk/data/img/product_main_images/small/19003.jpg")</f>
        <v>0.0</v>
      </c>
      <c r="F810" s="2" t="inlineStr">
        <is>
          <t>5999084969974</t>
        </is>
      </c>
      <c r="G810" s="4" t="inlineStr">
        <is>
          <t xml:space="preserve"> • farba LED: teplá biela 
 • počet LED: 1 ks 
 • za- / vypínanie: manuálna / automatická 
 • možnosť zapichnutia do zeme: áno 
 • napájanie: zabudovaný akumulátor (1 x 1,2V AAA (Ni-MH), 300 mAh) 
 • rozmery: 6,3 x 5,5 x 8,3 cm   27 cm tyč so zapichovacím prvkom 
 • hmotnosť: 238 g</t>
        </is>
      </c>
    </row>
    <row r="811">
      <c r="A811" s="3" t="inlineStr">
        <is>
          <t>MX655</t>
        </is>
      </c>
      <c r="B811" s="2" t="inlineStr">
        <is>
          <t>Solárne záhradné svietidlo, 6 ks diplej</t>
        </is>
      </c>
      <c r="C811" s="1" t="n">
        <v>7.69</v>
      </c>
      <c r="D811" s="7" t="n">
        <f>HYPERLINK("https://www.somogyi.sk/product/solarne-zahradne-svietidlo-6-ks-diplej-mx655-19012","https://www.somogyi.sk/product/solarne-zahradne-svietidlo-6-ks-diplej-mx655-19012")</f>
        <v>0.0</v>
      </c>
      <c r="E811" s="7" t="n">
        <f>HYPERLINK("https://www.somogyi.sk/data/img/product_main_images/small/19012.jpg","https://www.somogyi.sk/data/img/product_main_images/small/19012.jpg")</f>
        <v>0.0</v>
      </c>
      <c r="F811" s="2" t="inlineStr">
        <is>
          <t>5999084970062</t>
        </is>
      </c>
      <c r="G811" s="4" t="inlineStr">
        <is>
          <t xml:space="preserve"> • materiál: plast 
 • farba: čierna 
 • farba LED: teplá biela 
 • počet LED: 1 filament LED 
 • za- / vypínanie: manuálna / automatická 
 • závesné: áno 
 • napájanie: zabudovaný akumulátor 1 x 1,2V AAA (Ni-MH) 300 mAh 
 • rozmery: 18,5 x 18,5 x 20 cm 
 • hmotnosť: 160 g</t>
        </is>
      </c>
    </row>
    <row r="812">
      <c r="A812" s="3" t="inlineStr">
        <is>
          <t>MX671S</t>
        </is>
      </c>
      <c r="B812" s="2" t="inlineStr">
        <is>
          <t>Solárne záhradné svietidlo, ježko, možno zapichnúť do zeme</t>
        </is>
      </c>
      <c r="C812" s="1" t="n">
        <v>7.69</v>
      </c>
      <c r="D812" s="7" t="n">
        <f>HYPERLINK("https://www.somogyi.sk/product/solarne-zahradne-svietidlo-jezko-mozno-zapichnut-do-zeme-mx671s-19004","https://www.somogyi.sk/product/solarne-zahradne-svietidlo-jezko-mozno-zapichnut-do-zeme-mx671s-19004")</f>
        <v>0.0</v>
      </c>
      <c r="E812" s="7" t="n">
        <f>HYPERLINK("https://www.somogyi.sk/data/img/product_main_images/small/19004.jpg","https://www.somogyi.sk/data/img/product_main_images/small/19004.jpg")</f>
        <v>0.0</v>
      </c>
      <c r="F812" s="2" t="inlineStr">
        <is>
          <t>5999084969981</t>
        </is>
      </c>
      <c r="G812" s="4" t="inlineStr">
        <is>
          <t xml:space="preserve"> • farba LED: teplá biela 
 • počet LED: 1 ks 
 • za- / vypínanie: manuálna / automatická 
 • možnosť zapichnutia do zeme: áno 
 • napájanie: zabudovaný akumulátor (1 x 1,2V AAA (Ni-MH), 300 mAh) 
 • rozmery: 6,7 x 4 x 8,7 cm   27 cm tyč so zapichovacím prvkom 
 • hmotnosť: 220 g</t>
        </is>
      </c>
    </row>
    <row r="813">
      <c r="A813" s="3" t="inlineStr">
        <is>
          <t>MX 639</t>
        </is>
      </c>
      <c r="B813" s="2" t="inlineStr">
        <is>
          <t>Solárne záhradné svietidlo</t>
        </is>
      </c>
      <c r="C813" s="1" t="n">
        <v>6.29</v>
      </c>
      <c r="D813" s="7" t="n">
        <f>HYPERLINK("https://www.somogyi.sk/product/solarne-zahradne-svietidlo-mx-639-17602","https://www.somogyi.sk/product/solarne-zahradne-svietidlo-mx-639-17602")</f>
        <v>0.0</v>
      </c>
      <c r="E813" s="7" t="n">
        <f>HYPERLINK("https://www.somogyi.sk/data/img/product_main_images/small/17602.jpg","https://www.somogyi.sk/data/img/product_main_images/small/17602.jpg")</f>
        <v>0.0</v>
      </c>
      <c r="F813" s="2" t="inlineStr">
        <is>
          <t>5999084956240</t>
        </is>
      </c>
      <c r="G813" s="4" t="inlineStr">
        <is>
          <t xml:space="preserve"> • materiál: prevedenie umelá živica / plast 
 • farba LED: biela 
 • počet LED: 2 ks 
 • za- / vypínanie: automatický 
 • napájanie: vymeniteľný (1,2 V / 40 mAh) Ni-MH akumulátor 
 • rozmery: hríb: 12,5 x 11 x 11 cm, sova: 13 x 9,5 x 8 cm, slimák: 13 x 12 cm x 7 cm</t>
        </is>
      </c>
    </row>
    <row r="814">
      <c r="A814" s="3" t="inlineStr">
        <is>
          <t>MX716</t>
        </is>
      </c>
      <c r="B814" s="2" t="inlineStr">
        <is>
          <t>Solárne záhradné svietidlo, 12 ks displej</t>
        </is>
      </c>
      <c r="C814" s="1" t="n">
        <v>2.39</v>
      </c>
      <c r="D814" s="7" t="n">
        <f>HYPERLINK("https://www.somogyi.sk/product/solarne-zahradne-svietidlo-12-ks-displej-mx716-18340","https://www.somogyi.sk/product/solarne-zahradne-svietidlo-12-ks-displej-mx716-18340")</f>
        <v>0.0</v>
      </c>
      <c r="E814" s="7" t="n">
        <f>HYPERLINK("https://www.somogyi.sk/data/img/product_main_images/small/18340.jpg","https://www.somogyi.sk/data/img/product_main_images/small/18340.jpg")</f>
        <v>0.0</v>
      </c>
      <c r="F814" s="2" t="inlineStr">
        <is>
          <t>5999084963583</t>
        </is>
      </c>
      <c r="G814" s="4" t="inlineStr">
        <is>
          <t xml:space="preserve"> • materiál: plast (polyresin) 
 • farba LED: studená biela 
 • počet LED: 1 ks 
 • za- / vypínanie: automatický 
 • možnosť zapichnutia do zeme: áno 
 • napájanie: zabudovaný 1,2V 40 mAh HB40 (Ni-MH) akumulátor 
 • rozmery: 8,5 x 8,5 x 24,5 (36,5) cm 
 • ochrana proti vode: IP44: ochrana voči striekajúcej vode z každého smeru 
 • charakteristiky: zabudovaný solárny panel a nabíjačka akumulátora: cez deň sa nabíja, v noci svieti 
 • umiestnenie: na vonkajšie / vnútorné použitie 
 • balenie: 12 ks/displej</t>
        </is>
      </c>
    </row>
    <row r="815">
      <c r="A815" s="3" t="inlineStr">
        <is>
          <t>MX652</t>
        </is>
      </c>
      <c r="B815" s="2" t="inlineStr">
        <is>
          <t>Solárne záhradné svietidlo, na odkvapový žľab, plot, 3 teplé biele LED</t>
        </is>
      </c>
      <c r="C815" s="1" t="n">
        <v>4.49</v>
      </c>
      <c r="D815" s="7" t="n">
        <f>HYPERLINK("https://www.somogyi.sk/product/solarne-zahradne-svietidlo-na-odkvapovy-zlab-plot-3-teple-biele-led-mx652-19006","https://www.somogyi.sk/product/solarne-zahradne-svietidlo-na-odkvapovy-zlab-plot-3-teple-biele-led-mx652-19006")</f>
        <v>0.0</v>
      </c>
      <c r="E815" s="7" t="n">
        <f>HYPERLINK("https://www.somogyi.sk/data/img/product_main_images/small/19006.jpg","https://www.somogyi.sk/data/img/product_main_images/small/19006.jpg")</f>
        <v>0.0</v>
      </c>
      <c r="F815" s="2" t="inlineStr">
        <is>
          <t>5999084970000</t>
        </is>
      </c>
      <c r="G815" s="4" t="inlineStr">
        <is>
          <t xml:space="preserve"> • materiál: plast 
 • farba LED: teplá biela 
 • počet LED: 3 ks 
 • za- / vypínanie: manuálna / automatická 
 • funkcia: vstavaný solárny panel a nabíjačka akumulátora: cez deň sa nabíja, v noci svieti 
 • napájanie: 1 x 1,2V, 600 mAh AA Ni-MH akumulátor 
 • rozmery: ∅12 (17) x 6 cm</t>
        </is>
      </c>
    </row>
    <row r="816">
      <c r="A816" s="3" t="inlineStr">
        <is>
          <t>MX654</t>
        </is>
      </c>
      <c r="B816" s="2" t="inlineStr">
        <is>
          <t>Solárne dekoračné svietidlo, nástenné, 1 LED, 200mAh</t>
        </is>
      </c>
      <c r="C816" s="1" t="n">
        <v>7.19</v>
      </c>
      <c r="D816" s="7" t="n">
        <f>HYPERLINK("https://www.somogyi.sk/product/solarne-dekoracne-svietidlo-nastenne-1-led-200mah-mx654-19007","https://www.somogyi.sk/product/solarne-dekoracne-svietidlo-nastenne-1-led-200mah-mx654-19007")</f>
        <v>0.0</v>
      </c>
      <c r="E816" s="7" t="n">
        <f>HYPERLINK("https://www.somogyi.sk/data/img/product_main_images/small/19007.jpg","https://www.somogyi.sk/data/img/product_main_images/small/19007.jpg")</f>
        <v>0.0</v>
      </c>
      <c r="F816" s="2" t="inlineStr">
        <is>
          <t>5999084970017</t>
        </is>
      </c>
      <c r="G816" s="4" t="inlineStr">
        <is>
          <t xml:space="preserve"> • farba LED: teplá biela 
 • počet LED: 1 ks 
 • za- / vypínanie: manuálna / automatická 
 • možnosť montáže na stenu: áno 
 • napájanie: 1 x 1,2 V AA / 300 mAh Ni-MH akumulátor 
 • rozmery: 8 x 11,5 x 12,5 cm 
 • hmotnosť: 250 g 
 • charakteristiky: prevedenie odolné voči poveternostným podmienkam</t>
        </is>
      </c>
    </row>
    <row r="817">
      <c r="A817" s="3" t="inlineStr">
        <is>
          <t>MX717</t>
        </is>
      </c>
      <c r="B817" s="2" t="inlineStr">
        <is>
          <t>Solárne záhradné svietidlo, 12 ks displej</t>
        </is>
      </c>
      <c r="C817" s="1" t="n">
        <v>2.29</v>
      </c>
      <c r="D817" s="7" t="n">
        <f>HYPERLINK("https://www.somogyi.sk/product/solarne-zahradne-svietidlo-12-ks-displej-mx717-18341","https://www.somogyi.sk/product/solarne-zahradne-svietidlo-12-ks-displej-mx717-18341")</f>
        <v>0.0</v>
      </c>
      <c r="E817" s="7" t="n">
        <f>HYPERLINK("https://www.somogyi.sk/data/img/product_main_images/small/18341.jpg","https://www.somogyi.sk/data/img/product_main_images/small/18341.jpg")</f>
        <v>0.0</v>
      </c>
      <c r="F817" s="2" t="inlineStr">
        <is>
          <t>5999084963590</t>
        </is>
      </c>
      <c r="G817" s="4" t="inlineStr">
        <is>
          <t xml:space="preserve"> • materiál: plast (polyresin) 
 • farba LED: blikajúca žltá 
 • počet LED: 1 ks 
 • za- / vypínanie: automatický 
 • možnosť zapichnutia do zeme: áno 
 • napájanie: zabudovaný1,2 V 40 mAh akumulátor HB40 (Ni-MH) 
 • rozmery: 6,2 x 6,2 x 33 (43) cm 
 • ochrana proti vode: IP44: ochrana voči striekajúcej vode z každého smeru 
 • charakteristiky: zabudovaný solárny panel a nabíjačka akumulátora: cez deň sa nabíja, v noci svieti 
 • umiestnenie: na vonkajšie / vnútorné použitie 
 • balenie: 12 ks/displej</t>
        </is>
      </c>
    </row>
    <row r="818">
      <c r="A818" s="3" t="inlineStr">
        <is>
          <t>MX645</t>
        </is>
      </c>
      <c r="B818" s="2" t="inlineStr">
        <is>
          <t>Solárne záhradné svietidlo, lienka</t>
        </is>
      </c>
      <c r="C818" s="1" t="n">
        <v>6.29</v>
      </c>
      <c r="D818" s="7" t="n">
        <f>HYPERLINK("https://www.somogyi.sk/product/solarne-zahradne-svietidlo-lienka-mx645-18338","https://www.somogyi.sk/product/solarne-zahradne-svietidlo-lienka-mx645-18338")</f>
        <v>0.0</v>
      </c>
      <c r="E818" s="7" t="n">
        <f>HYPERLINK("https://www.somogyi.sk/data/img/product_main_images/small/18338.jpg","https://www.somogyi.sk/data/img/product_main_images/small/18338.jpg")</f>
        <v>0.0</v>
      </c>
      <c r="F818" s="2" t="inlineStr">
        <is>
          <t>5999084963569</t>
        </is>
      </c>
      <c r="G818" s="4" t="inlineStr">
        <is>
          <t xml:space="preserve"> • materiál: plast (polyresin) 
 • farba LED: studená biela 
 • počet LED: 2 ks 
 • za- / vypínanie: automatický 
 • napájanie: zabudovaný 1,2V 40 mAh 1/3AAA (Ni-MH) akumulátor 
 • rozmery: 8,5 x (16,5/26,5) x 7 cm 
 • ochrana proti vode: IP44: ochrana voči striekajúcej vode z každého smeru 
 • charakteristiky: zabudovaný solárny panel a nabíjačka akumulátora: cez deň sa nabíja, v noci svieti 
 • umiestnenie: na vonkajšie / vnútorné použitie</t>
        </is>
      </c>
    </row>
    <row r="819">
      <c r="A819" s="3" t="inlineStr">
        <is>
          <t>MX647</t>
        </is>
      </c>
      <c r="B819" s="2" t="inlineStr">
        <is>
          <t>Solárne záhradné svietidlo, trpaslíci s visiacimi nohami</t>
        </is>
      </c>
      <c r="C819" s="1" t="n">
        <v>6.89</v>
      </c>
      <c r="D819" s="7" t="n">
        <f>HYPERLINK("https://www.somogyi.sk/product/solarne-zahradne-svietidlo-trpaslici-s-visiacimi-nohami-mx647-19001","https://www.somogyi.sk/product/solarne-zahradne-svietidlo-trpaslici-s-visiacimi-nohami-mx647-19001")</f>
        <v>0.0</v>
      </c>
      <c r="E819" s="7" t="n">
        <f>HYPERLINK("https://www.somogyi.sk/data/img/product_main_images/small/19001.jpg","https://www.somogyi.sk/data/img/product_main_images/small/19001.jpg")</f>
        <v>0.0</v>
      </c>
      <c r="F819" s="2" t="inlineStr">
        <is>
          <t>5999084969950</t>
        </is>
      </c>
      <c r="G819" s="4" t="inlineStr">
        <is>
          <t xml:space="preserve"> • materiál: umelá živica 
 • farba LED: teplá biela 
 • počet LED: 3 ks v jednom trpaslíkovi 
 • za- / vypínanie: manuálne / automatické 
 • funkcia: vstavaný solárny panel a nabíjačka akumulátora: cez deň sa nabíja, v noci svieti 
 • napájanie: 1,2 V 80mAh Ni-MH gombíkový akumulátor 
 • rozmery: 9,1 x 6,8 x 13,5 cm • 8,5 x 6,8 x 13 cm • 9,3 x 6,8 x 13,5 cm 
 • hmotnosť: 167 g 
 • charakteristiky: prevedenie odolné voči poveternostným podmienkam 
 • balenie: 12 ks / balenie</t>
        </is>
      </c>
    </row>
    <row r="820">
      <c r="A820" s="3" t="inlineStr">
        <is>
          <t>MX648</t>
        </is>
      </c>
      <c r="B820" s="2" t="inlineStr">
        <is>
          <t>Solárne záhradné svietidlo, hríbový domček</t>
        </is>
      </c>
      <c r="C820" s="1" t="n">
        <v>12.39</v>
      </c>
      <c r="D820" s="7" t="n">
        <f>HYPERLINK("https://www.somogyi.sk/product/solarne-zahradne-svietidlo-hribovy-domcek-mx648-18998","https://www.somogyi.sk/product/solarne-zahradne-svietidlo-hribovy-domcek-mx648-18998")</f>
        <v>0.0</v>
      </c>
      <c r="E820" s="7" t="n">
        <f>HYPERLINK("https://www.somogyi.sk/data/img/product_main_images/small/18998.jpg","https://www.somogyi.sk/data/img/product_main_images/small/18998.jpg")</f>
        <v>0.0</v>
      </c>
      <c r="F820" s="2" t="inlineStr">
        <is>
          <t>5999084969929</t>
        </is>
      </c>
      <c r="G820" s="4" t="inlineStr">
        <is>
          <t xml:space="preserve"> • materiál: umelá živica 
 • farba LED: teplá biela 
 • počet LED: 1 ks 
 • za- / vypínanie: manuálne / automatické 
 • napájanie: zabudovaný akumulátor (1 x AAA 1.2V 300 mAh) 
 • rozmery: 14,5 x 13,5 x 18cm 
 • hmotnosť: 450 g</t>
        </is>
      </c>
    </row>
    <row r="821">
      <c r="A821" s="3" t="inlineStr">
        <is>
          <t>MX 655/2</t>
        </is>
      </c>
      <c r="B821" s="2" t="inlineStr">
        <is>
          <t>Solárne nástenné svietidlo (2 ks)</t>
        </is>
      </c>
      <c r="C821" s="1" t="n">
        <v>21.09</v>
      </c>
      <c r="D821" s="7" t="n">
        <f>HYPERLINK("https://www.somogyi.sk/product/solarne-nastenne-svietidlo-2-ks-mx-655-2-17981","https://www.somogyi.sk/product/solarne-nastenne-svietidlo-2-ks-mx-655-2-17981")</f>
        <v>0.0</v>
      </c>
      <c r="E821" s="7" t="n">
        <f>HYPERLINK("https://www.somogyi.sk/data/img/product_main_images/small/17981.jpg","https://www.somogyi.sk/data/img/product_main_images/small/17981.jpg")</f>
        <v>0.0</v>
      </c>
      <c r="F821" s="2" t="inlineStr">
        <is>
          <t>5999084960032</t>
        </is>
      </c>
      <c r="G821" s="4" t="inlineStr">
        <is>
          <t xml:space="preserve"> • farba LED: teplá biela 
 • počet LED: 2 ks 
 • za- / vypínanie: automatické 
 • možnosť montáže na stenu: áno 
 • napájanie: zabudovaný (1,2 V  AA / 1000 mAh) NiMH akumulátor 
 • rozmery: 8,2 x 5,2 x 20,6 cm 
 • charakteristiky: prevedenie odolné voči poveternostným podmienkam 
 • ďalšie informácie: skrutky potrebné na montáž nie sú súčasťou balenia 
 • balenie: 2 ks / balenie</t>
        </is>
      </c>
    </row>
    <row r="822">
      <c r="A822" s="6" t="inlineStr">
        <is>
          <t xml:space="preserve">   Osvetlenie / Dekoračné osvetlenie</t>
        </is>
      </c>
      <c r="B822" s="6" t="inlineStr">
        <is>
          <t/>
        </is>
      </c>
      <c r="C822" s="6" t="inlineStr">
        <is>
          <t/>
        </is>
      </c>
      <c r="D822" s="6" t="inlineStr">
        <is>
          <t/>
        </is>
      </c>
      <c r="E822" s="6" t="inlineStr">
        <is>
          <t/>
        </is>
      </c>
      <c r="F822" s="6" t="inlineStr">
        <is>
          <t/>
        </is>
      </c>
      <c r="G822" s="6" t="inlineStr">
        <is>
          <t/>
        </is>
      </c>
    </row>
    <row r="823">
      <c r="A823" s="3" t="inlineStr">
        <is>
          <t>LPL 10 PAPAYA</t>
        </is>
      </c>
      <c r="B823" s="2" t="inlineStr">
        <is>
          <t>Party svietiaci reťazec,filament LED papaya, 5 m</t>
        </is>
      </c>
      <c r="C823" s="1" t="n">
        <v>40.99</v>
      </c>
      <c r="D823" s="7" t="n">
        <f>HYPERLINK("https://www.somogyi.sk/product/party-svietiaci-retazec-filament-led-papaya-5-m-lpl-10-papaya-17892","https://www.somogyi.sk/product/party-svietiaci-retazec-filament-led-papaya-5-m-lpl-10-papaya-17892")</f>
        <v>0.0</v>
      </c>
      <c r="E823" s="7" t="n">
        <f>HYPERLINK("https://www.somogyi.sk/data/img/product_main_images/small/17892.jpg","https://www.somogyi.sk/data/img/product_main_images/small/17892.jpg")</f>
        <v>0.0</v>
      </c>
      <c r="F823" s="2" t="inlineStr">
        <is>
          <t>5999084959142</t>
        </is>
      </c>
      <c r="G823" s="4" t="inlineStr">
        <is>
          <t xml:space="preserve"> • vonkajšia / vnútorná: na vonkajšie / vnútorné použitie 
 • farba LED: teplá biela 
 • počet LED: 1 x filament LED so stálym svetlom na žiarovku 
 • napájanie: IP44 sieťový adaptér na vonkajšie použitie 
 • rozmery: žiarovky: ∅6 cm x 12 cm • dĺžka reťazca: 4,5 m • dĺžka napájacieho kábla: 5 m</t>
        </is>
      </c>
    </row>
    <row r="824">
      <c r="A824" s="3" t="inlineStr">
        <is>
          <t>LPL 10 GLOBE</t>
        </is>
      </c>
      <c r="B824" s="2" t="inlineStr">
        <is>
          <t>Party svietiaci reťazec, spojovateľný, micro LED, teplá biela guľa, 5 m</t>
        </is>
      </c>
      <c r="C824" s="1" t="n">
        <v>46.39</v>
      </c>
      <c r="D824" s="7" t="n">
        <f>HYPERLINK("https://www.somogyi.sk/product/party-svietiaci-retazec-spojovatelny-micro-led-tepla-biela-gula-5-m-lpl-10-globe-17891","https://www.somogyi.sk/product/party-svietiaci-retazec-spojovatelny-micro-led-tepla-biela-gula-5-m-lpl-10-globe-17891")</f>
        <v>0.0</v>
      </c>
      <c r="E824" s="7" t="n">
        <f>HYPERLINK("https://www.somogyi.sk/data/img/product_main_images/small/17891.jpg","https://www.somogyi.sk/data/img/product_main_images/small/17891.jpg")</f>
        <v>0.0</v>
      </c>
      <c r="F824" s="2" t="inlineStr">
        <is>
          <t>5999084959135</t>
        </is>
      </c>
      <c r="G824" s="4" t="inlineStr">
        <is>
          <t xml:space="preserve"> • vonkajšia / vnútorná: na vonkajšie / vnútorné použitie 
 • farba LED: teplá biela 
 • napájanie: IP44 sieťový adaptér na vonkajšie použitie 
 • rozmery: žiarovky: ∅8 cm • dĺžka reťazca: 4,5 m • dĺžka napájacieho kábla: 5 m</t>
        </is>
      </c>
    </row>
    <row r="825">
      <c r="A825" s="3" t="inlineStr">
        <is>
          <t>LPL 30/M</t>
        </is>
      </c>
      <c r="B825" s="2" t="inlineStr">
        <is>
          <t>LED svietiaci reťazec na vonkajšie použitie, 30 farebných gúľ, 14,5 m</t>
        </is>
      </c>
      <c r="C825" s="1" t="n">
        <v>74.99</v>
      </c>
      <c r="D825" s="7" t="n">
        <f>HYPERLINK("https://www.somogyi.sk/product/led-svietiaci-retazec-na-vonkajsie-pouzitie-30-farebnych-gul-14-5-m-lpl-30-m-16048","https://www.somogyi.sk/product/led-svietiaci-retazec-na-vonkajsie-pouzitie-30-farebnych-gul-14-5-m-lpl-30-m-16048")</f>
        <v>0.0</v>
      </c>
      <c r="E825" s="7" t="n">
        <f>HYPERLINK("https://www.somogyi.sk/data/img/product_main_images/small/16048.jpg","https://www.somogyi.sk/data/img/product_main_images/small/16048.jpg")</f>
        <v>0.0</v>
      </c>
      <c r="F825" s="2" t="inlineStr">
        <is>
          <t>5999084940805</t>
        </is>
      </c>
      <c r="G825" s="4" t="inlineStr">
        <is>
          <t xml:space="preserve"> • vonkajšia / vnútorná: na vonkajšie / vnútorné použitie 
 • farba: farebná 
 • farba LED: farebná 
 • počet LED: 30 ks farebných plastových LED gúľ 
 • napájanie: 230 V~ (adaptér) 
 • rozmery: 14,5 m</t>
        </is>
      </c>
    </row>
    <row r="826">
      <c r="A826" s="3" t="inlineStr">
        <is>
          <t>CDX 1</t>
        </is>
      </c>
      <c r="B826" s="2" t="inlineStr">
        <is>
          <t xml:space="preserve">LED kahanec, biely </t>
        </is>
      </c>
      <c r="C826" s="1" t="n">
        <v>2.49</v>
      </c>
      <c r="D826" s="7" t="n">
        <f>HYPERLINK("https://www.somogyi.sk/product/led-kahanec-biely-cdx-1-9839","https://www.somogyi.sk/product/led-kahanec-biely-cdx-1-9839")</f>
        <v>0.0</v>
      </c>
      <c r="E826" s="7" t="n">
        <f>HYPERLINK("https://www.somogyi.sk/data/img/product_main_images/small/09839.jpg","https://www.somogyi.sk/data/img/product_main_images/small/09839.jpg")</f>
        <v>0.0</v>
      </c>
      <c r="F826" s="2" t="inlineStr">
        <is>
          <t>5998312785614</t>
        </is>
      </c>
      <c r="G826" s="4" t="inlineStr">
        <is>
          <t xml:space="preserve"> • vonkajšia / vnútorná: na vnútorné použitie 
 • farba: biela 
 • diaľkový ovládač: nie 
 • materiál: plast 
 • farba LED: oranžová 
 • počet LED: 1 ks 
 • efekty: blikajúce svetlo 
 • napájanie: 2 x AA batéria (nie je príslušenstvom) 
 • rozmery: 8 cm 
 • balenie: - 
 • hmotnosť: 0,08 kg 
 • ďalšie informácie: cca. 60 dňová prevádzka 
 • umiestnenie: vnútorné použitie 
 • zdroj svetla: LED 
 • počet zdrojov svetla: 1 ks 
 • farba zdrojov svetla: oranžová 
 • funkcie: blikajúca LED</t>
        </is>
      </c>
    </row>
    <row r="827">
      <c r="A827" s="3" t="inlineStr">
        <is>
          <t>FOL 1</t>
        </is>
      </c>
      <c r="B827" s="2" t="inlineStr">
        <is>
          <t>LED svietidlo s optickými vláknami</t>
        </is>
      </c>
      <c r="C827" s="1" t="n">
        <v>4.59</v>
      </c>
      <c r="D827" s="7" t="n">
        <f>HYPERLINK("https://www.somogyi.sk/product/led-svietidlo-s-optickymi-vlaknami-fol-1-17723","https://www.somogyi.sk/product/led-svietidlo-s-optickymi-vlaknami-fol-1-17723")</f>
        <v>0.0</v>
      </c>
      <c r="E827" s="7" t="n">
        <f>HYPERLINK("https://www.somogyi.sk/data/img/product_main_images/small/17723.jpg","https://www.somogyi.sk/data/img/product_main_images/small/17723.jpg")</f>
        <v>0.0</v>
      </c>
      <c r="F827" s="2" t="inlineStr">
        <is>
          <t>5999084957452</t>
        </is>
      </c>
      <c r="G827" s="4" t="inlineStr">
        <is>
          <t xml:space="preserve"> • vonkajšia / vnútorná: na vnútorné použitie 
 • farba LED: červená; modrá; zelená 
 • počet LED: 3 ks 
 • efekty: priebežná zmena farieb 
 • napájanie: 3 x AA batéria, nie je príslušenstvom</t>
        </is>
      </c>
    </row>
    <row r="828">
      <c r="A828" s="6" t="inlineStr">
        <is>
          <t xml:space="preserve">   Osvetlenie / Náladové osvetlenie</t>
        </is>
      </c>
      <c r="B828" s="6" t="inlineStr">
        <is>
          <t/>
        </is>
      </c>
      <c r="C828" s="6" t="inlineStr">
        <is>
          <t/>
        </is>
      </c>
      <c r="D828" s="6" t="inlineStr">
        <is>
          <t/>
        </is>
      </c>
      <c r="E828" s="6" t="inlineStr">
        <is>
          <t/>
        </is>
      </c>
      <c r="F828" s="6" t="inlineStr">
        <is>
          <t/>
        </is>
      </c>
      <c r="G828" s="6" t="inlineStr">
        <is>
          <t/>
        </is>
      </c>
    </row>
    <row r="829">
      <c r="A829" s="3" t="inlineStr">
        <is>
          <t>LTN 33 FP</t>
        </is>
      </c>
      <c r="B829" s="2" t="inlineStr">
        <is>
          <t>Dekorácia krb</t>
        </is>
      </c>
      <c r="C829" s="1" t="n">
        <v>27.49</v>
      </c>
      <c r="D829" s="7" t="n">
        <f>HYPERLINK("https://www.somogyi.sk/product/dekoracia-krb-ltn-33-fp-18103","https://www.somogyi.sk/product/dekoracia-krb-ltn-33-fp-18103")</f>
        <v>0.0</v>
      </c>
      <c r="E829" s="7" t="n">
        <f>HYPERLINK("https://www.somogyi.sk/data/img/product_main_images/small/18103.jpg","https://www.somogyi.sk/data/img/product_main_images/small/18103.jpg")</f>
        <v>0.0</v>
      </c>
      <c r="F829" s="2" t="inlineStr">
        <is>
          <t>5999084961251</t>
        </is>
      </c>
      <c r="G829" s="4" t="inlineStr">
        <is>
          <t xml:space="preserve"> • farba: biela 
 • zdroj svetla: LED 
 • napájanie: 3 x 1,5 V (C) batérie, nie sú príslušenstvom • možno napájať aj z adaptéra, nie je príslušenstvom (odporúčané MW MA06/G ) 
 • rozmery: 33 x 21 x 11 cm 
 • umiestnenie: na vnútorné použitie 
 • za- / vypínanie: ručná 
 • charakteristiky: bez funkcie vykurovania</t>
        </is>
      </c>
    </row>
    <row r="830">
      <c r="A830" s="3" t="inlineStr">
        <is>
          <t>LTN 64 FP</t>
        </is>
      </c>
      <c r="B830" s="2" t="inlineStr">
        <is>
          <t>Dekorácia krb, batériová</t>
        </is>
      </c>
      <c r="C830" s="1" t="n">
        <v>45.09</v>
      </c>
      <c r="D830" s="7" t="n">
        <f>HYPERLINK("https://www.somogyi.sk/product/dekoracia-krb-bateriova-ltn-64-fp-18104","https://www.somogyi.sk/product/dekoracia-krb-bateriova-ltn-64-fp-18104")</f>
        <v>0.0</v>
      </c>
      <c r="E830" s="7" t="n">
        <f>HYPERLINK("https://www.somogyi.sk/data/img/product_main_images/small/18104.jpg","https://www.somogyi.sk/data/img/product_main_images/small/18104.jpg")</f>
        <v>0.0</v>
      </c>
      <c r="F830" s="2" t="inlineStr">
        <is>
          <t>5999084961268</t>
        </is>
      </c>
      <c r="G830" s="4" t="inlineStr">
        <is>
          <t xml:space="preserve"> • farba: biela 
 • zdroj svetla: LED 
 • napájanie: 3 x 1,5 V (C) batérie, nie sú príslušenstvom • možno napájať aj z adaptéra, nie je príslušenstvom (odporúčané MW MA06/G ) 
 • rozmery: 64,5 x 22 x 12,5 cm 
 • umiestnenie: na vnútorné použitie 
 • za- / vypínanie: ručná 
 • charakteristiky: bez funkcie vykurovania</t>
        </is>
      </c>
    </row>
    <row r="831">
      <c r="A831" s="6" t="inlineStr">
        <is>
          <t xml:space="preserve">   Osvetlenie / Svietidlo so senzorom pohybu, pozičné svietidlo</t>
        </is>
      </c>
      <c r="B831" s="6" t="inlineStr">
        <is>
          <t/>
        </is>
      </c>
      <c r="C831" s="6" t="inlineStr">
        <is>
          <t/>
        </is>
      </c>
      <c r="D831" s="6" t="inlineStr">
        <is>
          <t/>
        </is>
      </c>
      <c r="E831" s="6" t="inlineStr">
        <is>
          <t/>
        </is>
      </c>
      <c r="F831" s="6" t="inlineStr">
        <is>
          <t/>
        </is>
      </c>
      <c r="G831" s="6" t="inlineStr">
        <is>
          <t/>
        </is>
      </c>
    </row>
    <row r="832">
      <c r="A832" s="3" t="inlineStr">
        <is>
          <t>PNL 6</t>
        </is>
      </c>
      <c r="B832" s="2" t="inlineStr">
        <is>
          <t>LED senzor pohybu</t>
        </is>
      </c>
      <c r="C832" s="1" t="n">
        <v>5.69</v>
      </c>
      <c r="D832" s="7" t="n">
        <f>HYPERLINK("https://www.somogyi.sk/product/led-senzor-pohybu-pnl-6-18112","https://www.somogyi.sk/product/led-senzor-pohybu-pnl-6-18112")</f>
        <v>0.0</v>
      </c>
      <c r="E832" s="7" t="n">
        <f>HYPERLINK("https://www.somogyi.sk/data/img/product_main_images/small/18112.jpg","https://www.somogyi.sk/data/img/product_main_images/small/18112.jpg")</f>
        <v>0.0</v>
      </c>
      <c r="F832" s="2" t="inlineStr">
        <is>
          <t>5999084961343</t>
        </is>
      </c>
      <c r="G832" s="4" t="inlineStr">
        <is>
          <t xml:space="preserve"> • zdroj svetla: LED 
 • počet LED: 5 ks 
 • farba LED: teplá biela 
 • PIR senzor pohybu: áno 
 • uhol snímania: horizontálne: ~120° / vertikálne: ~100° 
 • dosah snímania: ~3 m 
 • fotosenzor: áno 
 • čas svietenia: ~15...20 sekúnd 
 • umiestnenie na stenu: áno 
 • závesné: áno 
 • možnosť umiestniť na rovnú plochu: áno 
 • napájanie: 3 x 1,5 V (AAA) batéria, nie je príslušenstvom 
 • rozmery: ∅8,1 x 2,4 cm 
 •  
 • príslušenstvo: zabudovaný magnet, samolepiaca kovová dostička, obojstranné lepidlo, závesná páska</t>
        </is>
      </c>
    </row>
    <row r="833">
      <c r="A833" s="3" t="inlineStr">
        <is>
          <t>PNL 5</t>
        </is>
      </c>
      <c r="B833" s="2" t="inlineStr">
        <is>
          <t>LED otáčateľné svietidlo so senzorom pohybu</t>
        </is>
      </c>
      <c r="C833" s="1" t="n">
        <v>9.89</v>
      </c>
      <c r="D833" s="7" t="n">
        <f>HYPERLINK("https://www.somogyi.sk/product/led-otacatelne-svietidlo-so-senzorom-pohybu-pnl-5-16195","https://www.somogyi.sk/product/led-otacatelne-svietidlo-so-senzorom-pohybu-pnl-5-16195")</f>
        <v>0.0</v>
      </c>
      <c r="E833" s="7" t="n">
        <f>HYPERLINK("https://www.somogyi.sk/data/img/product_main_images/small/16195.jpg","https://www.somogyi.sk/data/img/product_main_images/small/16195.jpg")</f>
        <v>0.0</v>
      </c>
      <c r="F833" s="2" t="inlineStr">
        <is>
          <t>5999084942274</t>
        </is>
      </c>
      <c r="G833" s="4" t="inlineStr">
        <is>
          <t xml:space="preserve"> • zdroj svetla: vysoká svietivosť, 2 W COB LED 
 • výkon: 2 W 
 • počet LED: 1 ks 
 • farba LED: studená biela 
 • PIR senzor pohybu: áno 
 • uhol snímania: ~ 110° 
 • dosah snímania: ~ 4 m 
 • vypínač: ON, OFF, AUTO 
 • typy prevádzok: ON, OFF, AUTO 
 • umiestnenie na stenu: pomocou magnetického podstavca, priloženého obojstranného lepidla a skrutiek sa dá inštalovať na mnoho miest 
 • možnosť umiestniť na rovnú plochu: áno 
 • napájanie: 3 x AAA (1,5 V) batéria, nie je príslušenstvom 
 • ďalšie informácie: možno použiť ako stolnú, nástennú alebo ručnú lampu, 
 •  vrátane skrutiek a obojstranného lepidla, 
 •  svetelný zdroj LED vo svietidle sa nedá vymeniť</t>
        </is>
      </c>
    </row>
    <row r="834">
      <c r="A834" s="3" t="inlineStr">
        <is>
          <t>PNL 7</t>
        </is>
      </c>
      <c r="B834" s="2" t="inlineStr">
        <is>
          <t>LED senzor pohybu</t>
        </is>
      </c>
      <c r="C834" s="1" t="n">
        <v>5.49</v>
      </c>
      <c r="D834" s="7" t="n">
        <f>HYPERLINK("https://www.somogyi.sk/product/led-senzor-pohybu-pnl-7-18113","https://www.somogyi.sk/product/led-senzor-pohybu-pnl-7-18113")</f>
        <v>0.0</v>
      </c>
      <c r="E834" s="7" t="n">
        <f>HYPERLINK("https://www.somogyi.sk/data/img/product_main_images/small/18113.jpg","https://www.somogyi.sk/data/img/product_main_images/small/18113.jpg")</f>
        <v>0.0</v>
      </c>
      <c r="F834" s="2" t="inlineStr">
        <is>
          <t>5999084961350</t>
        </is>
      </c>
      <c r="G834" s="4" t="inlineStr">
        <is>
          <t xml:space="preserve"> • zdroj svetla: LED 
 • farba LED: studená biela 
 • PIR senzor pohybu: áno 
 • uhol snímania: horizontálne: ~120° / vertikálne: ~100° 
 • dosah snímania: ~6 m 
 • fotosenzor: áno 
 • vypínač: áno 
 • typy prevádzok: zapnúť / automatický / vypnúť 
 • čas svietenia: ~20 sekúnd 
 • napájanie: 4 x 1,5 V (AAA) batéria, nie je príslušenstvom 
 • rozmery: 23,6 x 3 x 1,4 cm 
 • funkcie: automatický alebo nepretržitý režim svietenia 
 • príslušenstvo: zabudovaný magnet, samolepiaca kovová dostička</t>
        </is>
      </c>
    </row>
    <row r="835">
      <c r="A835" s="3" t="inlineStr">
        <is>
          <t>PNL 22</t>
        </is>
      </c>
      <c r="B835" s="2" t="inlineStr">
        <is>
          <t>LED schodové svietidlo so senzorom pohybu</t>
        </is>
      </c>
      <c r="C835" s="1" t="n">
        <v>13.59</v>
      </c>
      <c r="D835" s="7" t="n">
        <f>HYPERLINK("https://www.somogyi.sk/product/led-schodove-svietidlo-so-senzorom-pohybu-pnl-22-17550","https://www.somogyi.sk/product/led-schodove-svietidlo-so-senzorom-pohybu-pnl-22-17550")</f>
        <v>0.0</v>
      </c>
      <c r="E835" s="7" t="n">
        <f>HYPERLINK("https://www.somogyi.sk/data/img/product_main_images/small/17550.jpg","https://www.somogyi.sk/data/img/product_main_images/small/17550.jpg")</f>
        <v>0.0</v>
      </c>
      <c r="F835" s="2" t="inlineStr">
        <is>
          <t>5999084955724</t>
        </is>
      </c>
      <c r="G835" s="4" t="inlineStr">
        <is>
          <t xml:space="preserve"> • zdroj svetla: 1x2 W COB LED   1x0,06 W DIP LED 
 • počet LED: 2 
 • PIR senzor pohybu: áno 
 • uhol snímania: ~ 120° 
 • dosah snímania: ~ 4 m 
 • vypínač: áno 
 • čas svietenia: 25 - 30 sekúnd 
 • napájanie: 3 x 1,5 V (AAA) batéria, nie je príslušenstvom 
 • rozmery: 9 x 5 x 3,2 cm</t>
        </is>
      </c>
    </row>
    <row r="836">
      <c r="A836" s="3" t="inlineStr">
        <is>
          <t>SNL 300/T</t>
        </is>
      </c>
      <c r="B836" s="2" t="inlineStr">
        <is>
          <t>Žiarivka, 7W, E14</t>
        </is>
      </c>
      <c r="C836" s="1" t="n">
        <v>1.89</v>
      </c>
      <c r="D836" s="7" t="n">
        <f>HYPERLINK("https://www.somogyi.sk/product/ziarivka-7w-e14-snl-300-t-4862","https://www.somogyi.sk/product/ziarivka-7w-e14-snl-300-t-4862")</f>
        <v>0.0</v>
      </c>
      <c r="E836" s="7" t="n">
        <f>HYPERLINK("https://www.somogyi.sk/data/img/product_main_images/small/04862.jpg","https://www.somogyi.sk/data/img/product_main_images/small/04862.jpg")</f>
        <v>0.0</v>
      </c>
      <c r="F836" s="2" t="inlineStr">
        <is>
          <t>5998312743003</t>
        </is>
      </c>
      <c r="G836" s="4" t="inlineStr">
        <is>
          <t xml:space="preserve"> • zdroj svetla: žiarovka 
 • výkon: 7 W 
 • objímka žiarovky: E 14 
 • napájanie: 230 V~ / 50 Hz 
 • rozmery: Ø25 x 55 mm</t>
        </is>
      </c>
    </row>
    <row r="837">
      <c r="A837" s="3" t="inlineStr">
        <is>
          <t>LNL 800</t>
        </is>
      </c>
      <c r="B837" s="2" t="inlineStr">
        <is>
          <t>Pozičné svietidlo so spínačom</t>
        </is>
      </c>
      <c r="C837" s="1" t="n">
        <v>5.49</v>
      </c>
      <c r="D837" s="7" t="n">
        <f>HYPERLINK("https://www.somogyi.sk/product/pozicne-svietidlo-so-spinacom-lnl-800-18304","https://www.somogyi.sk/product/pozicne-svietidlo-so-spinacom-lnl-800-18304")</f>
        <v>0.0</v>
      </c>
      <c r="E837" s="7" t="n">
        <f>HYPERLINK("https://www.somogyi.sk/data/img/product_main_images/small/18304.jpg","https://www.somogyi.sk/data/img/product_main_images/small/18304.jpg")</f>
        <v>0.0</v>
      </c>
      <c r="F837" s="2" t="inlineStr">
        <is>
          <t>5999084963262</t>
        </is>
      </c>
      <c r="G837" s="4" t="inlineStr">
        <is>
          <t xml:space="preserve"> • zdroj svetla: LED 
 • výkon: max. 1 W 
 • počet LED: 8 ks 
 • farba LED: 4 teplé biele a 4 studené biele 
 • vypínač: áno 
 • ďalšie informácie: Len na vnútorné použitie!</t>
        </is>
      </c>
    </row>
    <row r="838">
      <c r="A838" s="3" t="inlineStr">
        <is>
          <t>SLL 500</t>
        </is>
      </c>
      <c r="B838" s="2" t="inlineStr">
        <is>
          <t>LED pozičné svietidlo, s fotosenzorom, 230V</t>
        </is>
      </c>
      <c r="C838" s="1" t="n">
        <v>7.19</v>
      </c>
      <c r="D838" s="7" t="n">
        <f>HYPERLINK("https://www.somogyi.sk/product/led-pozicne-svietidlo-s-fotosenzorom-230v-sll-500-9328","https://www.somogyi.sk/product/led-pozicne-svietidlo-s-fotosenzorom-230v-sll-500-9328")</f>
        <v>0.0</v>
      </c>
      <c r="E838" s="7" t="n">
        <f>HYPERLINK("https://www.somogyi.sk/data/img/product_main_images/small/09328.jpg","https://www.somogyi.sk/data/img/product_main_images/small/09328.jpg")</f>
        <v>0.0</v>
      </c>
      <c r="F838" s="2" t="inlineStr">
        <is>
          <t>5998312781357</t>
        </is>
      </c>
      <c r="G838" s="4" t="inlineStr">
        <is>
          <t xml:space="preserve"> • zdroj svetla: LED 
 • výkon: 0,7 W 
 • počet LED: 5 ks 
 • farba LED: studená biela 
 • fotosenzor: áno 
 • typy prevádzok: zapne sa v tme 
 • napájanie: 230 V~ / 50 Hz 
 • rozmery: 4,5 x 11,5 x 4 cm</t>
        </is>
      </c>
    </row>
    <row r="839">
      <c r="A839" s="6" t="inlineStr">
        <is>
          <t xml:space="preserve">   Osvetlenie / Kempingové svietidlo</t>
        </is>
      </c>
      <c r="B839" s="6" t="inlineStr">
        <is>
          <t/>
        </is>
      </c>
      <c r="C839" s="6" t="inlineStr">
        <is>
          <t/>
        </is>
      </c>
      <c r="D839" s="6" t="inlineStr">
        <is>
          <t/>
        </is>
      </c>
      <c r="E839" s="6" t="inlineStr">
        <is>
          <t/>
        </is>
      </c>
      <c r="F839" s="6" t="inlineStr">
        <is>
          <t/>
        </is>
      </c>
      <c r="G839" s="6" t="inlineStr">
        <is>
          <t/>
        </is>
      </c>
    </row>
    <row r="840">
      <c r="A840" s="3" t="inlineStr">
        <is>
          <t>PLZ 1/WH</t>
        </is>
      </c>
      <c r="B840" s="2" t="inlineStr">
        <is>
          <t>LED závesné svietidlo</t>
        </is>
      </c>
      <c r="C840" s="1" t="n">
        <v>3.49</v>
      </c>
      <c r="D840" s="7" t="n">
        <f>HYPERLINK("https://www.somogyi.sk/product/led-zavesne-svietidlo-plz-1-wh-14728","https://www.somogyi.sk/product/led-zavesne-svietidlo-plz-1-wh-14728")</f>
        <v>0.0</v>
      </c>
      <c r="E840" s="7" t="n">
        <f>HYPERLINK("https://www.somogyi.sk/data/img/product_main_images/small/14728.jpg","https://www.somogyi.sk/data/img/product_main_images/small/14728.jpg")</f>
        <v>0.0</v>
      </c>
      <c r="F840" s="2" t="inlineStr">
        <is>
          <t>5999084927707</t>
        </is>
      </c>
      <c r="G840" s="4" t="inlineStr">
        <is>
          <t xml:space="preserve"> • typ LED: Ø 8 mm 
 • počet LED: 1 ks 
 • farba LED: teplá biela 
 • IP stupeň ochrany: IP 20 
 • závesné: áno (dĺžka kábla: 1 m) 
 • napájanie: 3 x AAA batéria (nie je príslušenstvom) 
 • rozmery: Ø5,5 x 15,5 cm</t>
        </is>
      </c>
    </row>
    <row r="841">
      <c r="A841" s="6" t="inlineStr">
        <is>
          <t xml:space="preserve">   Osvetlenie / Ručné svietidlo</t>
        </is>
      </c>
      <c r="B841" s="6" t="inlineStr">
        <is>
          <t/>
        </is>
      </c>
      <c r="C841" s="6" t="inlineStr">
        <is>
          <t/>
        </is>
      </c>
      <c r="D841" s="6" t="inlineStr">
        <is>
          <t/>
        </is>
      </c>
      <c r="E841" s="6" t="inlineStr">
        <is>
          <t/>
        </is>
      </c>
      <c r="F841" s="6" t="inlineStr">
        <is>
          <t/>
        </is>
      </c>
      <c r="G841" s="6" t="inlineStr">
        <is>
          <t/>
        </is>
      </c>
    </row>
    <row r="842">
      <c r="A842" s="3" t="inlineStr">
        <is>
          <t>PLR 24</t>
        </is>
      </c>
      <c r="B842" s="2" t="inlineStr">
        <is>
          <t>LED batériové svietidlo, 1 W COB LED</t>
        </is>
      </c>
      <c r="C842" s="1" t="n">
        <v>2.39</v>
      </c>
      <c r="D842" s="7" t="n">
        <f>HYPERLINK("https://www.somogyi.sk/product/led-bateriove-svietidlo-1-w-cob-led-plr-24-16161","https://www.somogyi.sk/product/led-bateriove-svietidlo-1-w-cob-led-plr-24-16161")</f>
        <v>0.0</v>
      </c>
      <c r="E842" s="7" t="n">
        <f>HYPERLINK("https://www.somogyi.sk/data/img/product_main_images/small/16161.jpg","https://www.somogyi.sk/data/img/product_main_images/small/16161.jpg")</f>
        <v>0.0</v>
      </c>
      <c r="F842" s="2" t="inlineStr">
        <is>
          <t>5999084941932</t>
        </is>
      </c>
      <c r="G842" s="4" t="inlineStr">
        <is>
          <t>LED batériové svietidlo</t>
        </is>
      </c>
    </row>
    <row r="843">
      <c r="A843" s="6" t="inlineStr">
        <is>
          <t xml:space="preserve">   Osvetlenie / Osvetlenie do nábytku, USB svietidlo, nabíjateľné ručné svietidlo</t>
        </is>
      </c>
      <c r="B843" s="6" t="inlineStr">
        <is>
          <t/>
        </is>
      </c>
      <c r="C843" s="6" t="inlineStr">
        <is>
          <t/>
        </is>
      </c>
      <c r="D843" s="6" t="inlineStr">
        <is>
          <t/>
        </is>
      </c>
      <c r="E843" s="6" t="inlineStr">
        <is>
          <t/>
        </is>
      </c>
      <c r="F843" s="6" t="inlineStr">
        <is>
          <t/>
        </is>
      </c>
      <c r="G843" s="6" t="inlineStr">
        <is>
          <t/>
        </is>
      </c>
    </row>
    <row r="844">
      <c r="A844" s="3" t="inlineStr">
        <is>
          <t>GL 05</t>
        </is>
      </c>
      <c r="B844" s="2" t="inlineStr">
        <is>
          <t>LED batériové svietidlo, univerzálne, samolepiace</t>
        </is>
      </c>
      <c r="C844" s="1" t="n">
        <v>5.09</v>
      </c>
      <c r="D844" s="7" t="n">
        <f>HYPERLINK("https://www.somogyi.sk/product/led-bateriove-svietidlo-univerzalne-samolepiace-gl-05-15742","https://www.somogyi.sk/product/led-bateriove-svietidlo-univerzalne-samolepiace-gl-05-15742")</f>
        <v>0.0</v>
      </c>
      <c r="E844" s="7" t="n">
        <f>HYPERLINK("https://www.somogyi.sk/data/img/product_main_images/small/15742.jpg","https://www.somogyi.sk/data/img/product_main_images/small/15742.jpg")</f>
        <v>0.0</v>
      </c>
      <c r="F844" s="2" t="inlineStr">
        <is>
          <t>5999084937768</t>
        </is>
      </c>
      <c r="G844" s="4" t="inlineStr">
        <is>
          <t xml:space="preserve"> • farba: biela 
 • materiál: plast 
 • zdroj svetla: LED 
 • počet zdrojov svetla: 1x3 W studená biela (4200 K) COB LED 
 • napájanie: 3x1,5 V (AAA) batéria (nie je príslušenstvom) 
 • rozmery: Ø10x3cm</t>
        </is>
      </c>
    </row>
    <row r="845">
      <c r="A845" s="3" t="inlineStr">
        <is>
          <t>GL 03</t>
        </is>
      </c>
      <c r="B845" s="2" t="inlineStr">
        <is>
          <t>LED batériové svietidlo, univerzálny, samolepiaci</t>
        </is>
      </c>
      <c r="C845" s="1" t="n">
        <v>2.19</v>
      </c>
      <c r="D845" s="7" t="n">
        <f>HYPERLINK("https://www.somogyi.sk/product/led-bateriove-svietidlo-univerzalny-samolepiaci-gl-03-15322","https://www.somogyi.sk/product/led-bateriove-svietidlo-univerzalny-samolepiaci-gl-03-15322")</f>
        <v>0.0</v>
      </c>
      <c r="E845" s="7" t="n">
        <f>HYPERLINK("https://www.somogyi.sk/data/img/product_main_images/small/15322.jpg","https://www.somogyi.sk/data/img/product_main_images/small/15322.jpg")</f>
        <v>0.0</v>
      </c>
      <c r="F845" s="2" t="inlineStr">
        <is>
          <t>5999084933562</t>
        </is>
      </c>
      <c r="G845" s="4" t="inlineStr">
        <is>
          <t xml:space="preserve"> • farba: strieborná 
 • materiál: plast 
 • zdroj svetla: studená biela LED 
 • počet zdrojov svetla: 3 ks 
 • charakteristiky: samolepiaci podstavec 
 • napájanie: 3 x AAA batéria (nie je príslušenstvom) 
 • rozmery: Ø7 x 2,5 cm</t>
        </is>
      </c>
    </row>
    <row r="846">
      <c r="A846" s="6" t="inlineStr">
        <is>
          <t xml:space="preserve">   Osvetlenie / NEBO</t>
        </is>
      </c>
      <c r="B846" s="6" t="inlineStr">
        <is>
          <t/>
        </is>
      </c>
      <c r="C846" s="6" t="inlineStr">
        <is>
          <t/>
        </is>
      </c>
      <c r="D846" s="6" t="inlineStr">
        <is>
          <t/>
        </is>
      </c>
      <c r="E846" s="6" t="inlineStr">
        <is>
          <t/>
        </is>
      </c>
      <c r="F846" s="6" t="inlineStr">
        <is>
          <t/>
        </is>
      </c>
      <c r="G846" s="6" t="inlineStr">
        <is>
          <t/>
        </is>
      </c>
    </row>
    <row r="847">
      <c r="A847" s="3" t="inlineStr">
        <is>
          <t>NEB-HLP-1006-G</t>
        </is>
      </c>
      <c r="B847" s="2" t="inlineStr">
        <is>
          <t>NEBO Master Series HL1000, čelovka</t>
        </is>
      </c>
      <c r="C847" s="1" t="n">
        <v>78.49</v>
      </c>
      <c r="D847" s="7" t="n">
        <f>HYPERLINK("https://www.somogyi.sk/product/nebo-master-series-hl1000-celovka-neb-hlp-1006-g-18039","https://www.somogyi.sk/product/nebo-master-series-hl1000-celovka-neb-hlp-1006-g-18039")</f>
        <v>0.0</v>
      </c>
      <c r="E847" s="7" t="n">
        <f>HYPERLINK("https://www.somogyi.sk/data/img/product_main_images/small/18039.jpg","https://www.somogyi.sk/data/img/product_main_images/small/18039.jpg")</f>
        <v>0.0</v>
      </c>
      <c r="F847" s="2" t="inlineStr">
        <is>
          <t>5060945230011</t>
        </is>
      </c>
      <c r="G847" s="4" t="inlineStr">
        <is>
          <t xml:space="preserve"> • materiál: eloxovaný hliník leteckej kvality 
 • typy prevádzok: 5 druhov 
 •  
 • N/A: áno 
 • regulovateľná svietivosť: áno 
 • N/A: áno 
 • magnetický podstavec: áno 
 •  
 • rozmery: 2,54 x 9,65 x 3,56 cm</t>
        </is>
      </c>
    </row>
    <row r="848">
      <c r="A848" s="3" t="inlineStr">
        <is>
          <t>NEB-POC-0007-G</t>
        </is>
      </c>
      <c r="B848" s="2" t="inlineStr">
        <is>
          <t>NEBO COLUMBO™ 150</t>
        </is>
      </c>
      <c r="C848" s="1" t="n">
        <v>15.99</v>
      </c>
      <c r="D848" s="7" t="n">
        <f>HYPERLINK("https://www.somogyi.sk/product/nebo-columbo-150-neb-poc-0007-g-17400","https://www.somogyi.sk/product/nebo-columbo-150-neb-poc-0007-g-17400")</f>
        <v>0.0</v>
      </c>
      <c r="E848" s="7" t="n">
        <f>HYPERLINK("https://www.somogyi.sk/data/img/product_main_images/small/17400.jpg","https://www.somogyi.sk/data/img/product_main_images/small/17400.jpg")</f>
        <v>0.0</v>
      </c>
      <c r="F848" s="2" t="inlineStr">
        <is>
          <t>5060063228310</t>
        </is>
      </c>
      <c r="G848" s="4" t="inlineStr">
        <is>
          <t xml:space="preserve"> • materiál: eloxovaný hliník leteckej kvality 
 • typy prevádzok: 3 druhy 
 • svietivosť: max. 150 lm 
 •  
 • N/A: x4 
 • N/A: áno 
 • ochrana proti vode: vodotesné (IP67) 
 • napájanie: 2 x AAA batéria (je príslušenstvom) 
 • ďalšie informácie: oceľový štipec na opasok 
 • rozmery: 24,1 x Ø2 cm</t>
        </is>
      </c>
    </row>
    <row r="849">
      <c r="A849" s="3" t="inlineStr">
        <is>
          <t>NEB-HLP-0008-G</t>
        </is>
      </c>
      <c r="B849" s="2" t="inlineStr">
        <is>
          <t>NEBO EINSTEIN™ 1500 FLEX, čelovka</t>
        </is>
      </c>
      <c r="C849" s="1" t="n">
        <v>63.89</v>
      </c>
      <c r="D849" s="7" t="n">
        <f>HYPERLINK("https://www.somogyi.sk/product/nebo-einstein-1500-flex-celovka-neb-hlp-0008-g-17402","https://www.somogyi.sk/product/nebo-einstein-1500-flex-celovka-neb-hlp-0008-g-17402")</f>
        <v>0.0</v>
      </c>
      <c r="E849" s="7" t="n">
        <f>HYPERLINK("https://www.somogyi.sk/data/img/product_main_images/small/17402.jpg","https://www.somogyi.sk/data/img/product_main_images/small/17402.jpg")</f>
        <v>0.0</v>
      </c>
      <c r="F849" s="2" t="inlineStr">
        <is>
          <t>5060063228389</t>
        </is>
      </c>
      <c r="G849" s="4" t="inlineStr">
        <is>
          <t xml:space="preserve"> • materiál: odolný ABS plast 
 • typy prevádzok: 5 druhov 
 • svietivosť: max. 1500 lm 
 •  
 • N/A: áno 
 • N/A: áno 
 • ochrana proti vode: IPX4 
 • napájanie: Li-ion akumulátor, 2200 mAh (je príslušenstvom) alebo 2 x CR123A batéria (nie je príslušenstvom) 
 • ďalšie informácie: Flex-Power technológia 
 • rozmery: (svietidlo) 12,7 x 5,1 x 7,6 cm</t>
        </is>
      </c>
    </row>
    <row r="850">
      <c r="A850" s="3" t="inlineStr">
        <is>
          <t>NEB-HLP-0007-G</t>
        </is>
      </c>
      <c r="B850" s="2" t="inlineStr">
        <is>
          <t>NEBO EINSTEIN™ 1000, čelovka</t>
        </is>
      </c>
      <c r="C850" s="1" t="n">
        <v>49.09</v>
      </c>
      <c r="D850" s="7" t="n">
        <f>HYPERLINK("https://www.somogyi.sk/product/nebo-einstein-1000-celovka-neb-hlp-0007-g-17403","https://www.somogyi.sk/product/nebo-einstein-1000-celovka-neb-hlp-0007-g-17403")</f>
        <v>0.0</v>
      </c>
      <c r="E850" s="7" t="n">
        <f>HYPERLINK("https://www.somogyi.sk/data/img/product_main_images/small/17403.jpg","https://www.somogyi.sk/data/img/product_main_images/small/17403.jpg")</f>
        <v>0.0</v>
      </c>
      <c r="F850" s="2" t="inlineStr">
        <is>
          <t>5060063228372</t>
        </is>
      </c>
      <c r="G850" s="4" t="inlineStr">
        <is>
          <t xml:space="preserve"> • materiál: ABS a hliník 
 • typy prevádzok: 5 druhov 
 • svietivosť: max. 1000 lm 
 •  
 • ochrana proti vode: IPX4 
 • napájanie: Li-ion akumulátor, 2200 mAh (je príslušenstvom) alebo 2 x CR123A batéria (nie je príslušenstvom) 
 • ďalšie informácie: Flex-Power technológia 
 • rozmery: (svietidlo) 10,7 x 5,1 x 5,1 cm</t>
        </is>
      </c>
    </row>
    <row r="851">
      <c r="A851" s="3" t="inlineStr">
        <is>
          <t>NEB-WLT-1008-G</t>
        </is>
      </c>
      <c r="B851" s="2" t="inlineStr">
        <is>
          <t>NEBO OMNI 3K</t>
        </is>
      </c>
      <c r="C851" s="1" t="n">
        <v>68.49</v>
      </c>
      <c r="D851" s="7" t="n">
        <f>HYPERLINK("https://www.somogyi.sk/product/nebo-omni-3k-neb-wlt-1008-g-18389","https://www.somogyi.sk/product/nebo-omni-3k-neb-wlt-1008-g-18389")</f>
        <v>0.0</v>
      </c>
      <c r="E851" s="7" t="n">
        <f>HYPERLINK("https://www.somogyi.sk/data/img/product_main_images/small/18389.jpg","https://www.somogyi.sk/data/img/product_main_images/small/18389.jpg")</f>
        <v>0.0</v>
      </c>
      <c r="F851" s="2" t="inlineStr">
        <is>
          <t>5060063229744</t>
        </is>
      </c>
      <c r="G851" s="4" t="inlineStr">
        <is>
          <t xml:space="preserve"> • 3000 lm montážne svietidlo nastaviteľné vo všetkých smeroch 
 • USB-C nabíjacia zásuvka                                                    
 • power bank  
 • akumulátor: 1 x 21700 Li-ion, 4000 mAh, 7,4 V 
 • otočná magnetická rukoväť 
 • otočné COB panely 
 • vodotesné a odolné voči nárazom (IPX4) 
 • protišmyková gumová vrstva 
 • signalizácia nabitia akumulátora 
 • zadný Za-/Vypínač a tlačidlá nastavenia svietivosti 
 • režimy: 
 • obidva COB (3000 lm) - 1 h / 70 m 
 • obidva COB (300 lm) - 4 h / 22 m 
 • jeden COB (1500 lm) - 2 h / 50 m 
 • jeden COB (150 lm) - 8 h / 18 m 
 • červený COB (7 lm) - 11 h / 8 m 
 • červený COB stroboskop (20 lm) - 20 h / 8 m 
 • príslušenstvo: USB-C nabíjací kábel 
 • rozmery (v poskladanom stave): 12,7 x 4,98 x 13,66 cm</t>
        </is>
      </c>
    </row>
    <row r="852">
      <c r="A852" s="3" t="inlineStr">
        <is>
          <t>NEB-FLT-1033-G</t>
        </is>
      </c>
      <c r="B852" s="2" t="inlineStr">
        <is>
          <t>NEBO BIG LARRY PRO</t>
        </is>
      </c>
      <c r="C852" s="1" t="n">
        <v>44.29</v>
      </c>
      <c r="D852" s="7" t="n">
        <f>HYPERLINK("https://www.somogyi.sk/product/nebo-big-larry-pro-neb-flt-1033-g-18386","https://www.somogyi.sk/product/nebo-big-larry-pro-neb-flt-1033-g-18386")</f>
        <v>0.0</v>
      </c>
      <c r="E852" s="7" t="n">
        <f>HYPERLINK("https://www.somogyi.sk/data/img/product_main_images/small/18386.jpg","https://www.somogyi.sk/data/img/product_main_images/small/18386.jpg")</f>
        <v>0.0</v>
      </c>
      <c r="F852" s="2" t="inlineStr">
        <is>
          <t>5060945230547</t>
        </is>
      </c>
      <c r="G852" s="4" t="inlineStr">
        <is>
          <t xml:space="preserve"> • akumulátorová 600 lm baterka a montážne svietidlo 
 • USB-C nabíjacia zásuvka  
 • reguľovateľná svietivosť, s pamäťou 
 • Direct-to-Red 
 • eloxovaný hliník leteckej kvality 
 • vodotesné a odolné voči nárazom (IPX7) 
 • oceľový štipec na opasok 
 • silný magnetický podstavec 
 • režimy: 
 • baterka (220 lm): 11 h / 82 m 
 • montážne svietidlo (600 lm): 4,5 h / 33 m 
 • červené svetlo (40 lm): 8 h / 7 m</t>
        </is>
      </c>
    </row>
    <row r="853">
      <c r="A853" s="3" t="inlineStr">
        <is>
          <t>NEB-FLT-1006-G</t>
        </is>
      </c>
      <c r="B853" s="2" t="inlineStr">
        <is>
          <t>NEBO Torchy 2k</t>
        </is>
      </c>
      <c r="C853" s="1" t="n">
        <v>46.79</v>
      </c>
      <c r="D853" s="7" t="n">
        <f>HYPERLINK("https://www.somogyi.sk/product/nebo-torchy-2k-neb-flt-1006-g-17417","https://www.somogyi.sk/product/nebo-torchy-2k-neb-flt-1006-g-17417")</f>
        <v>0.0</v>
      </c>
      <c r="E853" s="7" t="n">
        <f>HYPERLINK("https://www.somogyi.sk/data/img/product_main_images/small/17417.jpg","https://www.somogyi.sk/data/img/product_main_images/small/17417.jpg")</f>
        <v>0.0</v>
      </c>
      <c r="F853" s="2" t="inlineStr">
        <is>
          <t>5060063228686</t>
        </is>
      </c>
      <c r="G853" s="4" t="inlineStr">
        <is>
          <t xml:space="preserve"> • materiál: eloxovaný hliník leteckej kvality 
 • typy prevádzok: 5 druhov 
 • svietivosť: max. 2000 lm 
 •  
 • N/A: áno 
 • N/A: áno 
 • ochrana proti vode: vodotesný a odolný voči nárazom  (IP66) 
 • napájanie: nabíjateľný Li-ion akumulátor 2000 mAh 
 • rozmery: 11 x Ø2,7 cm</t>
        </is>
      </c>
    </row>
    <row r="854">
      <c r="A854" s="3" t="inlineStr">
        <is>
          <t>NEB-6809-G</t>
        </is>
      </c>
      <c r="B854" s="2" t="inlineStr">
        <is>
          <t>NEBO TINO</t>
        </is>
      </c>
      <c r="C854" s="1" t="n">
        <v>9.79</v>
      </c>
      <c r="D854" s="7" t="n">
        <f>HYPERLINK("https://www.somogyi.sk/product/nebo-tino-neb-6809-g-17411","https://www.somogyi.sk/product/nebo-tino-neb-6809-g-17411")</f>
        <v>0.0</v>
      </c>
      <c r="E854" s="7" t="n">
        <f>HYPERLINK("https://www.somogyi.sk/data/img/product_main_images/small/17411.jpg","https://www.somogyi.sk/data/img/product_main_images/small/17411.jpg")</f>
        <v>0.0</v>
      </c>
      <c r="F854" s="2" t="inlineStr">
        <is>
          <t>5060063228570</t>
        </is>
      </c>
      <c r="G854" s="4" t="inlineStr">
        <is>
          <t xml:space="preserve"> • materiál: plastový 
 • typy prevádzok: 2 druhy 
 • svietivosť: 300 lm 
 •  
 • magnetický podstavec: áno 
 • ochrana proti vode: vodotesný a odolný voči nárazom 
 • napájanie: 3 x AAA batéria (je prísl.) 
 • rozmery: 11 x 4,5 x 4 cm</t>
        </is>
      </c>
    </row>
    <row r="855">
      <c r="A855" s="3" t="inlineStr">
        <is>
          <t>NEB-7007-G</t>
        </is>
      </c>
      <c r="B855" s="2" t="inlineStr">
        <is>
          <t>NEBO ANGLE LIGHT</t>
        </is>
      </c>
      <c r="C855" s="1" t="n">
        <v>9.69</v>
      </c>
      <c r="D855" s="7" t="n">
        <f>HYPERLINK("https://www.somogyi.sk/product/nebo-angle-light-neb-7007-g-17821","https://www.somogyi.sk/product/nebo-angle-light-neb-7007-g-17821")</f>
        <v>0.0</v>
      </c>
      <c r="E855" s="7" t="n">
        <f>HYPERLINK("https://www.somogyi.sk/data/img/product_main_images/small/17821.jpg","https://www.somogyi.sk/data/img/product_main_images/small/17821.jpg")</f>
        <v>0.0</v>
      </c>
      <c r="F855" s="2" t="inlineStr">
        <is>
          <t>5060063228877</t>
        </is>
      </c>
      <c r="G855" s="4" t="inlineStr">
        <is>
          <t xml:space="preserve"> • materiál: plast 
 • typy prevádzok: 1 
 • svietivosť: 220 lm 
 • prevádzkový čas: 3,5 h 
 • N/A: 19 m 
 • magnetický podstavec: áno 
 • ochrana proti vode: IPX4 
 • napájanie: 3 x AAA batéria (je príslušenstvom) 
 • ďalšie informácie: háčik / 180 stupňov otočná hlava 
 • rozmery: 8,5 x 8 x 3,8 cm</t>
        </is>
      </c>
    </row>
    <row r="856">
      <c r="A856" s="3" t="inlineStr">
        <is>
          <t>NEB-FLT-0016-G</t>
        </is>
      </c>
      <c r="B856" s="2" t="inlineStr">
        <is>
          <t>NEBO NEWTON™ 1000</t>
        </is>
      </c>
      <c r="C856" s="1" t="n">
        <v>42.19</v>
      </c>
      <c r="D856" s="7" t="n">
        <f>HYPERLINK("https://www.somogyi.sk/product/nebo-newton-1000-neb-flt-0016-g-17393","https://www.somogyi.sk/product/nebo-newton-1000-neb-flt-0016-g-17393")</f>
        <v>0.0</v>
      </c>
      <c r="E856" s="7" t="n">
        <f>HYPERLINK("https://www.somogyi.sk/data/img/product_main_images/small/17393.jpg","https://www.somogyi.sk/data/img/product_main_images/small/17393.jpg")</f>
        <v>0.0</v>
      </c>
      <c r="F856" s="2" t="inlineStr">
        <is>
          <t>5060063228235</t>
        </is>
      </c>
      <c r="G856" s="4" t="inlineStr">
        <is>
          <t xml:space="preserve"> • materiál: eloxovaný hliník leteckej kvality 
 • typy prevádzok: 4 druhy 
 • svietivosť: max. 1000 lm 
 •  
 • N/A: x3 
 • N/A: áno 
 • N/A: áno 
 • ochrana proti vode: vodotesný a odolný voči nárazom  (IP67) 
 • napájanie: 4 x AA batéria (je príslušenstvom) 
 • ďalšie informácie: odnímateľná závesná šnúra 
 • rozmery: (v zasunutom stave) 17,8 x Ø4,8 x 3,8 cm</t>
        </is>
      </c>
    </row>
    <row r="857">
      <c r="A857" s="3" t="inlineStr">
        <is>
          <t>NEB-HLP-1005-G</t>
        </is>
      </c>
      <c r="B857" s="2" t="inlineStr">
        <is>
          <t>NEBO MYCRO 500</t>
        </is>
      </c>
      <c r="C857" s="1" t="n">
        <v>36.79</v>
      </c>
      <c r="D857" s="7" t="n">
        <f>HYPERLINK("https://www.somogyi.sk/product/nebo-mycro-500-neb-hlp-1005-g-18384","https://www.somogyi.sk/product/nebo-mycro-500-neb-hlp-1005-g-18384")</f>
        <v>0.0</v>
      </c>
      <c r="E857" s="7" t="n">
        <f>HYPERLINK("https://www.somogyi.sk/data/img/product_main_images/small/18384.jpg","https://www.somogyi.sk/data/img/product_main_images/small/18384.jpg")</f>
        <v>0.0</v>
      </c>
      <c r="F857" s="2" t="inlineStr">
        <is>
          <t>5060063229584</t>
        </is>
      </c>
      <c r="G857" s="4" t="inlineStr">
        <is>
          <t xml:space="preserve"> • materiál: eloxovaný hliník leteckej kvality 
 • typy prevádzok: 7 druhov 
 •  
 • N/A: áno 
 • N/A: áno 
 • vlastnosť: nastaviteľný držiak na hlavu 
 • ochrana proti vode: IPX4 
 • N/A: áno 
 • napájanie: nabíjateľný akumulátor (Li-Po, 200 mAh, 3,7V) 
 • rozmery: 2,54 x 3,05 x 7,24 cm 
 • hmotnosť: 85 g</t>
        </is>
      </c>
    </row>
    <row r="858">
      <c r="A858" s="3" t="inlineStr">
        <is>
          <t>NEB-FLT-0033-G</t>
        </is>
      </c>
      <c r="B858" s="2" t="inlineStr">
        <is>
          <t>NEBO Torchy 2k HD</t>
        </is>
      </c>
      <c r="C858" s="1" t="n">
        <v>47.39</v>
      </c>
      <c r="D858" s="7" t="n">
        <f>HYPERLINK("https://www.somogyi.sk/product/nebo-torchy-2k-hd-neb-flt-0033-g-19154","https://www.somogyi.sk/product/nebo-torchy-2k-hd-neb-flt-0033-g-19154")</f>
        <v>0.0</v>
      </c>
      <c r="E858" s="7" t="n">
        <f>HYPERLINK("https://www.somogyi.sk/data/img/product_main_images/small/19154.jpg","https://www.somogyi.sk/data/img/product_main_images/small/19154.jpg")</f>
        <v>0.0</v>
      </c>
      <c r="F858" s="2" t="inlineStr">
        <is>
          <t>5060945232084</t>
        </is>
      </c>
      <c r="G858" s="4" t="inlineStr">
        <is>
          <t xml:space="preserve"> • materiál: eloxovaný hliník leteckej kvality 
 • typy prevádzok: 5 druhov 
 •  
 •  
 •  
 • napájanie: akumulátor</t>
        </is>
      </c>
    </row>
    <row r="859">
      <c r="A859" s="3" t="inlineStr">
        <is>
          <t>NEB-POC-1000-G</t>
        </is>
      </c>
      <c r="B859" s="2" t="inlineStr">
        <is>
          <t>NEBO INSPECTOR™ 500+</t>
        </is>
      </c>
      <c r="C859" s="1" t="n">
        <v>36.69</v>
      </c>
      <c r="D859" s="7" t="n">
        <f>HYPERLINK("https://www.somogyi.sk/product/nebo-inspector-500-neb-poc-1000-g-17825","https://www.somogyi.sk/product/nebo-inspector-500-neb-poc-1000-g-17825")</f>
        <v>0.0</v>
      </c>
      <c r="E859" s="7" t="n">
        <f>HYPERLINK("https://www.somogyi.sk/data/img/product_main_images/small/17825.jpg","https://www.somogyi.sk/data/img/product_main_images/small/17825.jpg")</f>
        <v>0.0</v>
      </c>
      <c r="F859" s="2" t="inlineStr">
        <is>
          <t>5060063228945</t>
        </is>
      </c>
      <c r="G859" s="4" t="inlineStr">
        <is>
          <t xml:space="preserve"> • materiál: eloxovaný hliník leteckej kvality 
 • typy prevádzok: 2 x 4 
 • svietivosť: s akumulátorom: režim smerovaného svetla: turbo: 500 lm / vysoká svietivosť: 250 lm / stredná svietivosť: 25 lm / režim blikania: 250 lm - //- režim difúzneho svetla: turbo: 400 lm / vysoká svietivosť: 200 lm / nízka svietivosť : 20 lm / režim blikania: 200 lm • s batériou: turbo: 140 lm / vysoká svietivosť: 70 lm / stredná svietivosť: 7 lm / blikanie: 70 lm 
 •  
 • N/A: áno 
 • magnetický podstavec: áno 
 • ochrana proti vode: vodotesný a odolný voči nárazom (IPX7) 
 • zobrazenie nízkeho napätia: áno 
 • ďalšie informácie: odstrániteľný držiak, nastaviteľný uhol skonu 
 • rozmery: 16 x ∅1,8 cm</t>
        </is>
      </c>
    </row>
    <row r="860">
      <c r="A860" s="3" t="inlineStr">
        <is>
          <t>NEB-FLT-1061-G</t>
        </is>
      </c>
      <c r="B860" s="2" t="inlineStr">
        <is>
          <t>NEBO TORCHY UV</t>
        </is>
      </c>
      <c r="C860" s="1" t="n">
        <v>18.09</v>
      </c>
      <c r="D860" s="7" t="n">
        <f>HYPERLINK("https://www.somogyi.sk/product/nebo-torchy-uv-neb-flt-1061-g-18388","https://www.somogyi.sk/product/nebo-torchy-uv-neb-flt-1061-g-18388")</f>
        <v>0.0</v>
      </c>
      <c r="E860" s="7" t="n">
        <f>HYPERLINK("https://www.somogyi.sk/data/img/product_main_images/small/18388.jpg","https://www.somogyi.sk/data/img/product_main_images/small/18388.jpg")</f>
        <v>0.0</v>
      </c>
      <c r="F860" s="2" t="inlineStr">
        <is>
          <t>5060945231384</t>
        </is>
      </c>
      <c r="G860" s="4" t="inlineStr">
        <is>
          <t xml:space="preserve"> • UV svietidlo 
 • Dual UV-A technológia (2x 395nm + 1x365nm LED)  
 • 2 režimy svietivosti (vysoká – nízka) 
 • tlačidlové ovládanie 
 • hliníkové prevedenie 
 • vodotesné (IPX4) 
 • napájanie: 3x AAA batéria 
 • rozmery: 9,5 x 2,8 x 2,8 cm 
 • hmotnosť: 110 g</t>
        </is>
      </c>
    </row>
    <row r="861">
      <c r="A861" s="3" t="inlineStr">
        <is>
          <t>NEB-FLT-1015-G</t>
        </is>
      </c>
      <c r="B861" s="2" t="inlineStr">
        <is>
          <t>NEBO DAVINCI 18000</t>
        </is>
      </c>
      <c r="C861" s="1" t="n">
        <v>197.9</v>
      </c>
      <c r="D861" s="7" t="n">
        <f>HYPERLINK("https://www.somogyi.sk/product/nebo-davinci-18000-neb-flt-1015-g-18318","https://www.somogyi.sk/product/nebo-davinci-18000-neb-flt-1015-g-18318")</f>
        <v>0.0</v>
      </c>
      <c r="E861" s="7" t="n">
        <f>HYPERLINK("https://www.somogyi.sk/data/img/product_main_images/small/18318.jpg","https://www.somogyi.sk/data/img/product_main_images/small/18318.jpg")</f>
        <v>0.0</v>
      </c>
      <c r="F861" s="2" t="inlineStr">
        <is>
          <t>5060945230592</t>
        </is>
      </c>
      <c r="G861" s="4" t="inlineStr">
        <is>
          <t xml:space="preserve"> • materiál: eloxovaný hliník leteckej kvality 
 • typy prevádzok: 5 druhov 
 •  
 • N/A: x2 
 • N/A: áno 
 • N/A: Smart Temperature Control™ (STC) 
 • ochrana proti vode: IP67 
 • napájanie: 5000 mAh, 7,4 V akumulátor (nabíjateľný) 
 • rozmery: 35 x ∅6,5 cm</t>
        </is>
      </c>
    </row>
    <row r="862">
      <c r="A862" s="3" t="inlineStr">
        <is>
          <t>NEB-6737-G</t>
        </is>
      </c>
      <c r="B862" s="2" t="inlineStr">
        <is>
          <t>NEBO BIG LARRY 2</t>
        </is>
      </c>
      <c r="C862" s="1" t="n">
        <v>19.19</v>
      </c>
      <c r="D862" s="7" t="n">
        <f>HYPERLINK("https://www.somogyi.sk/product/nebo-big-larry-2-neb-6737-g-17409","https://www.somogyi.sk/product/nebo-big-larry-2-neb-6737-g-17409")</f>
        <v>0.0</v>
      </c>
      <c r="E862" s="7" t="n">
        <f>HYPERLINK("https://www.somogyi.sk/data/img/product_main_images/small/17409.jpg","https://www.somogyi.sk/data/img/product_main_images/small/17409.jpg")</f>
        <v>0.0</v>
      </c>
      <c r="F862" s="2" t="inlineStr">
        <is>
          <t>5060063228563</t>
        </is>
      </c>
      <c r="G862" s="4" t="inlineStr">
        <is>
          <t xml:space="preserve"> • materiál: eloxovaný hliník leteckej kvality 
 • typy prevádzok: 4 druhy 
 • svietivosť: max. 500 lm 
 •  
 • N/A: áno 
 • magnetický podstavec: áno 
 • ochrana proti vode: vodotesný a odolný voči nárazom 
 • napájanie: 3 x AA batéria (je prísl.) 
 • ďalšie informácie: oceľový štipec na opasok 
 • rozmery: 19,7 x 2,5 x 3,2 cm</t>
        </is>
      </c>
    </row>
    <row r="863">
      <c r="A863" s="3" t="inlineStr">
        <is>
          <t>NEB-1003-G</t>
        </is>
      </c>
      <c r="B863" s="2" t="inlineStr">
        <is>
          <t>NEBO SLYDE KING 2K</t>
        </is>
      </c>
      <c r="C863" s="1" t="n">
        <v>54.09</v>
      </c>
      <c r="D863" s="7" t="n">
        <f>HYPERLINK("https://www.somogyi.sk/product/nebo-slyde-king-2k-neb-1003-g-18385","https://www.somogyi.sk/product/nebo-slyde-king-2k-neb-1003-g-18385")</f>
        <v>0.0</v>
      </c>
      <c r="E863" s="7" t="n">
        <f>HYPERLINK("https://www.somogyi.sk/data/img/product_main_images/small/18385.jpg","https://www.somogyi.sk/data/img/product_main_images/small/18385.jpg")</f>
        <v>0.0</v>
      </c>
      <c r="F863" s="2" t="inlineStr">
        <is>
          <t>5060945230714</t>
        </is>
      </c>
      <c r="G863" s="4" t="inlineStr">
        <is>
          <t xml:space="preserve"> • 2000 lm akumulátorová baterka a 500 lm montážne svietidlo 
 • USB-C nabíjacia zásuvka 
 • 4x nastaviteľný zoom 
 • nastaviteľná svietivosť 
 • Direct-to-Red 
 • signalizácia nízkeho nabitia akumulátora 
 • pogumovaná rukoväť 
 • eloxovaný hliník leteckej kvality 
 • vodotesná (IP67) a odolná voči nárazom 
 • silný magnetický podstavec 
 • režimy: 
 • baterka s vysokou svietivosťou (2000 lm): 2 h / 409 m 
 • baterka s nízkou svietivosťou (200 lm): 12 h / 125 m 
 • montážne svietidlo s vysokou svietivosťou (500 lm): 4 h / 34 m 
 • montážne svietidlo s nízkou svietivosťou (50 lm): 24 h / 10 m 
 • červené svetlo s vysokou svietivosťou (40 lm): 6 h / 9 m 
 • červené svetlo s nízkou svietivosťou (4 lm): 60 h / 3 m 
 • blikajúce červené svetlo (40 lm): 6 h / 9 m 
 • rozmery (v zasunutom stave): 17,3 x Ø 4,3 cm</t>
        </is>
      </c>
    </row>
    <row r="864">
      <c r="A864" s="3" t="inlineStr">
        <is>
          <t>NEB-POC-1003-G</t>
        </is>
      </c>
      <c r="B864" s="2" t="inlineStr">
        <is>
          <t>NEBO COLUMBO™ KEYCHAIN</t>
        </is>
      </c>
      <c r="C864" s="1" t="n">
        <v>10.69</v>
      </c>
      <c r="D864" s="7" t="n">
        <f>HYPERLINK("https://www.somogyi.sk/product/nebo-columbo-keychain-neb-poc-1003-g-18382","https://www.somogyi.sk/product/nebo-columbo-keychain-neb-poc-1003-g-18382")</f>
        <v>0.0</v>
      </c>
      <c r="E864" s="7" t="n">
        <f>HYPERLINK("https://www.somogyi.sk/data/img/product_main_images/small/18382.jpg","https://www.somogyi.sk/data/img/product_main_images/small/18382.jpg")</f>
        <v>0.0</v>
      </c>
      <c r="F864" s="2" t="inlineStr">
        <is>
          <t>5060945230639</t>
        </is>
      </c>
      <c r="G864" s="4" t="inlineStr">
        <is>
          <t xml:space="preserve"> • kľúčenka 
 • eloxovaný hliník leteckej kvality 
 • vodotesné a odolné voči nárazom (IPX7) 
 • napájanie: 1 x AAA batéria (je príslušenstvom) 
 • svietivosť: 100 lm, 1 h / 56 m 
 • rozmery: 8,61 x 1,8 x 1,8 cm</t>
        </is>
      </c>
    </row>
    <row r="865">
      <c r="A865" s="3" t="inlineStr">
        <is>
          <t>NEB-FLT-0021-G</t>
        </is>
      </c>
      <c r="B865" s="2" t="inlineStr">
        <is>
          <t>NEBO DAVINCI™ 3500</t>
        </is>
      </c>
      <c r="C865" s="1" t="n">
        <v>87.99</v>
      </c>
      <c r="D865" s="7" t="n">
        <f>HYPERLINK("https://www.somogyi.sk/product/nebo-davinci-3500-neb-flt-0021-g-17389","https://www.somogyi.sk/product/nebo-davinci-3500-neb-flt-0021-g-17389")</f>
        <v>0.0</v>
      </c>
      <c r="E865" s="7" t="n">
        <f>HYPERLINK("https://www.somogyi.sk/data/img/product_main_images/small/17389.jpg","https://www.somogyi.sk/data/img/product_main_images/small/17389.jpg")</f>
        <v>0.0</v>
      </c>
      <c r="F865" s="2" t="inlineStr">
        <is>
          <t>5060063228198</t>
        </is>
      </c>
      <c r="G865" s="4" t="inlineStr">
        <is>
          <t xml:space="preserve"> • materiál: eloxovaný hliník leteckej kvality 
 • typy prevádzok: 4 druhy 
 • svietivosť: max. 3500 lm 
 •  
 • N/A: x3 
 • N/A: áno 
 • N/A: 4500 mAh power bank 
 • ochrana proti vode: vodotesné a prachotesné (IP67) 
 • napájanie: nabíjateľný Li-ion akumulátor 4500 mAh 
 • rozmery: (v zasunutom stave) 20,6 x Ø4,8 cm</t>
        </is>
      </c>
    </row>
    <row r="866">
      <c r="A866" s="3" t="inlineStr">
        <is>
          <t>NEB-HLP-1008-G</t>
        </is>
      </c>
      <c r="B866" s="2" t="inlineStr">
        <is>
          <t>NEBO EINSTEIN 600, čelovka</t>
        </is>
      </c>
      <c r="C866" s="1" t="n">
        <v>31.69</v>
      </c>
      <c r="D866" s="7" t="n">
        <f>HYPERLINK("https://www.somogyi.sk/product/nebo-einstein-600-celovka-neb-hlp-1008-g-18383","https://www.somogyi.sk/product/nebo-einstein-600-celovka-neb-hlp-1008-g-18383")</f>
        <v>0.0</v>
      </c>
      <c r="E866" s="7" t="n">
        <f>HYPERLINK("https://www.somogyi.sk/data/img/product_main_images/small/18383.jpg","https://www.somogyi.sk/data/img/product_main_images/small/18383.jpg")</f>
        <v>0.0</v>
      </c>
      <c r="F866" s="2" t="inlineStr">
        <is>
          <t>5060945231223</t>
        </is>
      </c>
      <c r="G866" s="4" t="inlineStr">
        <is>
          <t xml:space="preserve"> • 600 lm čelovka 
 • eloxovaný hliník leteckej kvality 
 • nastaviteľný, odstrániteľný držiak 
 • ocelový štipec na opasok 
 • vodotesné a odolné voči nárazom (IPX6) 
 • silný magnetický podstavec 
 • akumulátor: Li-Ion, 700 mAh, 16340, 3,7V 
 • režimy: 
 • turbo (600 lm): 40 sek / 90 m 
 • vysoká svietivosť (240 lm): 1 h 50 min / 56 m 
 • nízka svietivosť (60 lm): 4 h / 28 m 
 • stroboskop (600 lm): 2 h / 90 m</t>
        </is>
      </c>
    </row>
    <row r="867">
      <c r="A867" s="3" t="inlineStr">
        <is>
          <t>NEB-SPT-1000-G</t>
        </is>
      </c>
      <c r="B867" s="2" t="inlineStr">
        <is>
          <t>NEBO LUXTREME SL75</t>
        </is>
      </c>
      <c r="C867" s="1" t="n">
        <v>132.9</v>
      </c>
      <c r="D867" s="7" t="n">
        <f>HYPERLINK("https://www.somogyi.sk/product/nebo-luxtreme-sl75-neb-spt-1000-g-17822","https://www.somogyi.sk/product/nebo-luxtreme-sl75-neb-spt-1000-g-17822")</f>
        <v>0.0</v>
      </c>
      <c r="E867" s="7" t="n">
        <f>HYPERLINK("https://www.somogyi.sk/data/img/product_main_images/small/17822.jpg","https://www.somogyi.sk/data/img/product_main_images/small/17822.jpg")</f>
        <v>0.0</v>
      </c>
      <c r="F867" s="2" t="inlineStr">
        <is>
          <t>5060063229355</t>
        </is>
      </c>
      <c r="G867" s="4" t="inlineStr">
        <is>
          <t xml:space="preserve"> • materiál: eloxovaný hliník leteckej kvality 
 • typy prevádzok: 3 druhy 
 •  
 • N/A: áno 
 • magnetický podstavec: áno 
 • ochrana proti vode: vodotesný a odolný voči nárazom  (IP67) 
 • napájanie: akumulátor: Li-Ion 21700, 9000 mAh 
 • rozmery: 20,5 x 12 x 7,3 cm</t>
        </is>
      </c>
    </row>
    <row r="868">
      <c r="A868" s="3" t="inlineStr">
        <is>
          <t>NEB-WLT-1007-G</t>
        </is>
      </c>
      <c r="B868" s="2" t="inlineStr">
        <is>
          <t>NEBO SLIM 1200</t>
        </is>
      </c>
      <c r="C868" s="1" t="n">
        <v>44.29</v>
      </c>
      <c r="D868" s="7" t="n">
        <f>HYPERLINK("https://www.somogyi.sk/product/nebo-slim-1200-neb-wlt-1007-g-18387","https://www.somogyi.sk/product/nebo-slim-1200-neb-wlt-1007-g-18387")</f>
        <v>0.0</v>
      </c>
      <c r="E868" s="7" t="n">
        <f>HYPERLINK("https://www.somogyi.sk/data/img/product_main_images/small/18387.jpg","https://www.somogyi.sk/data/img/product_main_images/small/18387.jpg")</f>
        <v>0.0</v>
      </c>
      <c r="F868" s="2" t="inlineStr">
        <is>
          <t>5060945230660</t>
        </is>
      </c>
      <c r="G868" s="4" t="inlineStr">
        <is>
          <t xml:space="preserve"> • akumulátorová 1200 lm baterka 
 • USB-C nabíjacia zásuvka 
 • eloxovaný hliník leteckej kvality 
 • vodotesné a odolné voči nárazom (IPX7) 
 • power bank 
 • akumulátor: 1x 803450 Li-Pol, 1500 mAh, 3,7V 
 • magnetický štipec na opasok a spodok 
 • reguľovateľná svietivosť, s pamäťou 
 • Direct-to-Red 
 • Smart Power Control 
 • rozmery: 13 x 3,5 x 25,5 cm 
 • režimy: 
 • turbo (1200 lm): 30 sek / 52 m 
 • vysoká svietivosť (700 lm): 1,759 h / 41 m  
 • stredná svietivosť (350 lm): 3 h / 29 m 
 • nízka svietivosť (30 lm): 12 h / 8 m 
 • stroboskop (700 lm): 2 h / 41 m 
 • červený stroboskop (8 lm): 6 h / 4 m 
 • príslušenstvo: USB-C kábel</t>
        </is>
      </c>
    </row>
    <row r="869">
      <c r="A869" s="3" t="inlineStr">
        <is>
          <t>NEB-FLT-0020-G</t>
        </is>
      </c>
      <c r="B869" s="2" t="inlineStr">
        <is>
          <t>NEBO DAVINCI™ 2000</t>
        </is>
      </c>
      <c r="C869" s="1" t="n">
        <v>68.49</v>
      </c>
      <c r="D869" s="7" t="n">
        <f>HYPERLINK("https://www.somogyi.sk/product/nebo-davinci-2000-neb-flt-0020-g-17390","https://www.somogyi.sk/product/nebo-davinci-2000-neb-flt-0020-g-17390")</f>
        <v>0.0</v>
      </c>
      <c r="E869" s="7" t="n">
        <f>HYPERLINK("https://www.somogyi.sk/data/img/product_main_images/small/17390.jpg","https://www.somogyi.sk/data/img/product_main_images/small/17390.jpg")</f>
        <v>0.0</v>
      </c>
      <c r="F869" s="2" t="inlineStr">
        <is>
          <t>5060063228204</t>
        </is>
      </c>
      <c r="G869" s="4" t="inlineStr">
        <is>
          <t xml:space="preserve"> • materiál: eloxovaný hliník leteckej kvality 
 • typy prevádzok: 4 druhy 
 • svietivosť: max. 2000 lm 
 •  
 • N/A: x4 
 • N/A: áno 
 • N/A: 2000 mAh power bank 
 • ochrana proti vode: vodotesné a prachotesné (IP67) 
 • napájanie: nabíjateľný Li-ion akumulátor 2000 mAh 
 • rozmery: (v zasunutom stave) 18,4 x Ø3,5</t>
        </is>
      </c>
    </row>
    <row r="870">
      <c r="A870" s="3" t="inlineStr">
        <is>
          <t>NEB-HLP-0011-G</t>
        </is>
      </c>
      <c r="B870" s="2" t="inlineStr">
        <is>
          <t>NEBO MYCRO Headlamp, čelovka</t>
        </is>
      </c>
      <c r="C870" s="1" t="n">
        <v>26.49</v>
      </c>
      <c r="D870" s="7" t="n">
        <f>HYPERLINK("https://www.somogyi.sk/product/nebo-mycro-headlamp-celovka-neb-hlp-0011-g-17419","https://www.somogyi.sk/product/nebo-mycro-headlamp-celovka-neb-hlp-0011-g-17419")</f>
        <v>0.0</v>
      </c>
      <c r="E870" s="7" t="n">
        <f>HYPERLINK("https://www.somogyi.sk/data/img/product_main_images/small/17419.jpg","https://www.somogyi.sk/data/img/product_main_images/small/17419.jpg")</f>
        <v>0.0</v>
      </c>
      <c r="F870" s="2" t="inlineStr">
        <is>
          <t>5060063228587</t>
        </is>
      </c>
      <c r="G870" s="4" t="inlineStr">
        <is>
          <t xml:space="preserve"> • materiál: eloxovaný hliník leteckej kvality 
 • typy prevádzok: 6 druhov 
 • svietivosť: max. 500 lm 
 •  
 • N/A: áno 
 • N/A: áno 
 • ochrana proti vode: vodotesný a odolný voči nárazom  (IP67) 
 • zobrazenie nízkeho napätia: áno 
 • napájanie: zabudovaný Li-Po akumulátor 500 mAh 
 • rozmery: (svietidlo) 4,7 x 3,2 x 3 cm</t>
        </is>
      </c>
    </row>
    <row r="871">
      <c r="A871" s="3" t="inlineStr">
        <is>
          <t>NEB-FLT-1070-G</t>
        </is>
      </c>
      <c r="B871" s="2" t="inlineStr">
        <is>
          <t>DAVINCI 12000 RC Mag Dial</t>
        </is>
      </c>
      <c r="C871" s="1" t="n">
        <v>160.9</v>
      </c>
      <c r="D871" s="7" t="n">
        <f>HYPERLINK("https://www.somogyi.sk/product/davinci-12000-rc-mag-dial-neb-flt-1070-g-18560","https://www.somogyi.sk/product/davinci-12000-rc-mag-dial-neb-flt-1070-g-18560")</f>
        <v>0.0</v>
      </c>
      <c r="E871" s="7" t="n">
        <f>HYPERLINK("https://www.somogyi.sk/data/img/product_main_images/small/18560.jpg","https://www.somogyi.sk/data/img/product_main_images/small/18560.jpg")</f>
        <v>0.0</v>
      </c>
      <c r="F871" s="2" t="inlineStr">
        <is>
          <t>5060945231551</t>
        </is>
      </c>
      <c r="G871" s="4" t="inlineStr">
        <is>
          <t xml:space="preserve"> • max. 12000 lm 
 • USB-C nabíjateľná 
 • 2x nastaviteľný zoom 
 • Smart Power Control (SPC) 
 • inteligentná regulácia teploty (STC) 
 • ergonomická gumená rukoväť 
 • kontrolka nabitia akumulátora 
 • eloxovaný hliník leteckej kvality 
 • vodotesná (IP67) a odolná voči nárazom 
 • príslušenstvo: 
 • USB-C-USB nabíjací kábel 
 • remienok na zápästie 
 • režimy: 
 • turbo (12 000 lm): 30 sekundové intervaly / 220 m 
 • vysoká svietivosť (7000 lm): 2 h / 164 m 
 • stredná svietivosť (3000 lm): 3 h / 114 m 
 • nízka svietivosť (300 lm): 12 h / 36 m 
 • blikanie (12 000 lm): 2 h / 220 m</t>
        </is>
      </c>
    </row>
    <row r="872">
      <c r="A872" s="3" t="inlineStr">
        <is>
          <t>NEB-FLT-1016-G</t>
        </is>
      </c>
      <c r="B872" s="2" t="inlineStr">
        <is>
          <t>NEBO DAVINCI™ 8000</t>
        </is>
      </c>
      <c r="C872" s="1" t="n">
        <v>117.9</v>
      </c>
      <c r="D872" s="7" t="n">
        <f>HYPERLINK("https://www.somogyi.sk/product/nebo-davinci-8000-neb-flt-1016-g-18380","https://www.somogyi.sk/product/nebo-davinci-8000-neb-flt-1016-g-18380")</f>
        <v>0.0</v>
      </c>
      <c r="E872" s="7" t="n">
        <f>HYPERLINK("https://www.somogyi.sk/data/img/product_main_images/small/18380.jpg","https://www.somogyi.sk/data/img/product_main_images/small/18380.jpg")</f>
        <v>0.0</v>
      </c>
      <c r="F872" s="2" t="inlineStr">
        <is>
          <t>5060945230615</t>
        </is>
      </c>
      <c r="G872" s="4" t="inlineStr">
        <is>
          <t xml:space="preserve"> • materiál: eloxovaný hliník leteckej kvality 
 • typy prevádzok: 5 druhov 
 •  
 • N/A: x4 
 • N/A: magnetický kotúč výberu režimu 
 • N/A: áno 
 • N/A: áno 
 • N/A: Smart Temperature Control™ (STC) 
 • N/A: áno 
 • ochrana proti vode: IP54 
 • napájanie: 2 x 26650 Li-ion, 5000 mAh, 7,4V (nabíjateľný) 
 • rozmery: 27,31 x 5,72 x 5,72 cm</t>
        </is>
      </c>
    </row>
    <row r="873">
      <c r="A873" s="3" t="inlineStr">
        <is>
          <t>NEB-FLT-1046-G</t>
        </is>
      </c>
      <c r="B873" s="2" t="inlineStr">
        <is>
          <t>NEBO DAVINCI™ 450L FLEX</t>
        </is>
      </c>
      <c r="C873" s="1" t="n">
        <v>31.59</v>
      </c>
      <c r="D873" s="7" t="n">
        <f>HYPERLINK("https://www.somogyi.sk/product/nebo-davinci-450l-flex-neb-flt-1046-g-18381","https://www.somogyi.sk/product/nebo-davinci-450l-flex-neb-flt-1046-g-18381")</f>
        <v>0.0</v>
      </c>
      <c r="E873" s="7" t="n">
        <f>HYPERLINK("https://www.somogyi.sk/data/img/product_main_images/small/18381.jpg","https://www.somogyi.sk/data/img/product_main_images/small/18381.jpg")</f>
        <v>0.0</v>
      </c>
      <c r="F873" s="2" t="inlineStr">
        <is>
          <t>5060945230622</t>
        </is>
      </c>
      <c r="G873" s="4" t="inlineStr">
        <is>
          <t xml:space="preserve"> • materiál: eloxovaný hliník leteckej kvality 
 • typy prevádzok: s akumulátorom: 4 typy / s batériami: 3 typy 
 • svietivosť: s akumulátorom: vysoký (250 lúmenov) • nízky (80 lúmenov) • stroboskop (250 lúmenov) • turbo (450 lúmenov) / s batériou: vysoký (90 lúmenov) • nízky (30 lúmenov) • stroboskop (90 lúmenov) 
 • prevádzkový čas: s akumulátorom: vysoká: 2,5 hodiny • nízka: 5,5 hodiny • stroboskop: 2 hodiny • turbo: 40 sekúnd / s batériou: vysoká: 2,5 hodiny • nízka: 4,5 hodiny • stroboskop: 4 hodiny 
 • N/A: s akumulátorom: vysoký: 160 m • nízky: 89 m • stroboskop: 160 m • turbo: 237 m / s batériou: vysoký: 102 m • nízky: 57 m • stroboskop: 102 m 
 • N/A: x6 
 • charakteristiky: Flex-Power™ technológia 
 • magnetický podstavec: áno 
 • ochrana proti vode: IPX4 
 • zobrazenie stavu akumulátora: áno 
 •  
 • rozmery: 3 x 3 x 10,85 cm 
 • príslušenstvo: USB nabíjací kábel</t>
        </is>
      </c>
    </row>
    <row r="874">
      <c r="A874" s="3" t="inlineStr">
        <is>
          <t>NEB-6700-G</t>
        </is>
      </c>
      <c r="B874" s="2" t="inlineStr">
        <is>
          <t>NEBO 450 FLEX</t>
        </is>
      </c>
      <c r="C874" s="1" t="n">
        <v>26.29</v>
      </c>
      <c r="D874" s="7" t="n">
        <f>HYPERLINK("https://www.somogyi.sk/product/nebo-450-flex-neb-6700-g-17410","https://www.somogyi.sk/product/nebo-450-flex-neb-6700-g-17410")</f>
        <v>0.0</v>
      </c>
      <c r="E874" s="7" t="n">
        <f>HYPERLINK("https://www.somogyi.sk/data/img/product_main_images/small/17410.jpg","https://www.somogyi.sk/data/img/product_main_images/small/17410.jpg")</f>
        <v>0.0</v>
      </c>
      <c r="F874" s="2" t="inlineStr">
        <is>
          <t>5060063228778</t>
        </is>
      </c>
      <c r="G874" s="4" t="inlineStr">
        <is>
          <t xml:space="preserve"> • materiál: eloxovaný hliník leteckej kvality 
 • typy prevádzok: 4 druhy 
 • svietivosť: max.450 lm 
 • prevádzkový čas: 600 mAh nabíjateľný akumulátor: vysoký jas (250 lumenov) - 2,5 hodiny / nízky jas (80 lumenov) - 5,5 hodiny / režim blikania (250 lumenov) - 2 hodiny / turbo (450 lumenov) - 40 sekúnd // AA batéria: vysoký jas (90 lúmenov) - 2,5 hodiny / nízky jas (30 lúmenov) - 4,5 hodiny / režim blikania (90 lúmenov) - 4 hodiny 
 • N/A: 600 mAh nabíjateľný akumulátor: vysoký jas (250 lumenov) - 160 metrov / nízky jas (80 lumenov) - 89 metrov / režim blikania (250 lumenov) - 160 metrov / turbo (450 lumenov) - 273 metrov // AA batéria: vysoký jas (90 lumenov) - 102 metrov / nízky jas (30 lumenov) - 57 metrov / režim blikania (90 lumenov) - 102 metrov 
 • N/A: x6 
 • magnetický podstavec: áno 
 • ochrana proti vode: vodotesné a odolné voči nárazom 
 • zobrazenie nízkeho napätia: áno 
 • napájanie: 1 x Lithium-ion 14500 nabíjateľný akumulátor (je príslušenstvom) alebo 1 x AA batéria (nie je príslušenstvom) 
 • ďalšie informácie: štipec na opasok 
 • rozmery: (v zasunutom stave) 10,7 x Ø2,9 cm</t>
        </is>
      </c>
    </row>
    <row r="875">
      <c r="A875" s="3" t="inlineStr">
        <is>
          <t>NEB-FLT-0018-G</t>
        </is>
      </c>
      <c r="B875" s="2" t="inlineStr">
        <is>
          <t>NEBO DAVINCI™ 1000</t>
        </is>
      </c>
      <c r="C875" s="1" t="n">
        <v>47.49</v>
      </c>
      <c r="D875" s="7" t="n">
        <f>HYPERLINK("https://www.somogyi.sk/product/nebo-davinci-1000-neb-flt-0018-g-17391","https://www.somogyi.sk/product/nebo-davinci-1000-neb-flt-0018-g-17391")</f>
        <v>0.0</v>
      </c>
      <c r="E875" s="7" t="n">
        <f>HYPERLINK("https://www.somogyi.sk/data/img/product_main_images/small/17391.jpg","https://www.somogyi.sk/data/img/product_main_images/small/17391.jpg")</f>
        <v>0.0</v>
      </c>
      <c r="F875" s="2" t="inlineStr">
        <is>
          <t>5060063228419</t>
        </is>
      </c>
      <c r="G875" s="4" t="inlineStr">
        <is>
          <t xml:space="preserve"> • materiál: eloxovaný hliník leteckej kvality 
 • typy prevádzok: 4 druhy 
 • svietivosť: max. 1000 lm 
 •  
 • N/A: x6 
 • N/A: áno 
 • ochrana proti vode: vodotesné a prachotesné (IP67) 
 • napájanie: nabíjateľný Li-ion akumulátor 2000 mAh 
 • rozmery: (v zasunutom stave) 15,9 x Ø3,5</t>
        </is>
      </c>
    </row>
    <row r="876">
      <c r="A876" s="3" t="inlineStr">
        <is>
          <t>NEB-POC-0006-G</t>
        </is>
      </c>
      <c r="B876" s="2" t="inlineStr">
        <is>
          <t>NEBO COLUMBO™ 100</t>
        </is>
      </c>
      <c r="C876" s="1" t="n">
        <v>13.79</v>
      </c>
      <c r="D876" s="7" t="n">
        <f>HYPERLINK("https://www.somogyi.sk/product/nebo-columbo-100-neb-poc-0006-g-17401","https://www.somogyi.sk/product/nebo-columbo-100-neb-poc-0006-g-17401")</f>
        <v>0.0</v>
      </c>
      <c r="E876" s="7" t="n">
        <f>HYPERLINK("https://www.somogyi.sk/data/img/product_main_images/small/17401.jpg","https://www.somogyi.sk/data/img/product_main_images/small/17401.jpg")</f>
        <v>0.0</v>
      </c>
      <c r="F876" s="2" t="inlineStr">
        <is>
          <t>5060063228303</t>
        </is>
      </c>
      <c r="G876" s="4" t="inlineStr">
        <is>
          <t xml:space="preserve"> • materiál: eloxovaný hliník leteckej kvality 
 • typy prevádzok: 3 druhy 
 • svietivosť: max. 100 lm 
 •  
 • N/A: x4 
 • N/A: áno 
 • ochrana proti vode: vodotesné (IP67) 
 • napájanie: 1 x AAA batéria (je príslušenstvom) 
 • ďalšie informácie: oceľový štipec na opasok 
 • rozmery: 17,8 x Ø2 cm</t>
        </is>
      </c>
    </row>
    <row r="877">
      <c r="A877" s="3" t="inlineStr">
        <is>
          <t>NEB-FLT-0014-G</t>
        </is>
      </c>
      <c r="B877" s="2" t="inlineStr">
        <is>
          <t>NEBO NEWTON™ 500</t>
        </is>
      </c>
      <c r="C877" s="1" t="n">
        <v>26.29</v>
      </c>
      <c r="D877" s="7" t="n">
        <f>HYPERLINK("https://www.somogyi.sk/product/nebo-newton-500-neb-flt-0014-g-17394","https://www.somogyi.sk/product/nebo-newton-500-neb-flt-0014-g-17394")</f>
        <v>0.0</v>
      </c>
      <c r="E877" s="7" t="n">
        <f>HYPERLINK("https://www.somogyi.sk/data/img/product_main_images/small/17394.jpg","https://www.somogyi.sk/data/img/product_main_images/small/17394.jpg")</f>
        <v>0.0</v>
      </c>
      <c r="F877" s="2" t="inlineStr">
        <is>
          <t>5060063228259</t>
        </is>
      </c>
      <c r="G877" s="4" t="inlineStr">
        <is>
          <t xml:space="preserve"> • materiál: eloxovaný hliník leteckej kvality 
 • typy prevádzok: 4 druhy 
 • svietivosť: max. 500 lm 
 •  
 • N/A: x4 
 • N/A: áno 
 • ochrana proti vode: vodotesný a odolný voči nárazom  (IP67) 
 • napájanie: 3 x AAA batéria (je prísl.) 
 • ďalšie informácie: odnímateľná závesná šnúra 
 • rozmery: (v zasunutom stave) 13,4 x 3,2 x 3,5 cm</t>
        </is>
      </c>
    </row>
    <row r="878">
      <c r="A878" s="3" t="inlineStr">
        <is>
          <t>NEB-FLT-1063-G</t>
        </is>
      </c>
      <c r="B878" s="2" t="inlineStr">
        <is>
          <t>NEBO DAVINCI 800L</t>
        </is>
      </c>
      <c r="C878" s="1" t="n">
        <v>39.29</v>
      </c>
      <c r="D878" s="7" t="n">
        <f>HYPERLINK("https://www.somogyi.sk/product/nebo-davinci-800l-neb-flt-1063-g-19133","https://www.somogyi.sk/product/nebo-davinci-800l-neb-flt-1063-g-19133")</f>
        <v>0.0</v>
      </c>
      <c r="E878" s="7" t="n">
        <f>HYPERLINK("https://www.somogyi.sk/data/img/product_main_images/small/19133.jpg","https://www.somogyi.sk/data/img/product_main_images/small/19133.jpg")</f>
        <v>0.0</v>
      </c>
      <c r="F878" s="2" t="inlineStr">
        <is>
          <t>5060945231919</t>
        </is>
      </c>
      <c r="G878" s="4" t="inlineStr">
        <is>
          <t xml:space="preserve"> • materiál: eloxovaný hliník leteckej kvality 
 • typy prevádzok: 4 druhy 
 •  
 •  
 •  
 •  
 •  
 • rozmery: 5,72 x 5,72 x 27,31 cm</t>
        </is>
      </c>
    </row>
    <row r="879">
      <c r="A879" s="3" t="inlineStr">
        <is>
          <t>NEB-HLP-1011-G</t>
        </is>
      </c>
      <c r="B879" s="2" t="inlineStr">
        <is>
          <t>NEBO EINSTEIN 250</t>
        </is>
      </c>
      <c r="C879" s="1" t="n">
        <v>14.79</v>
      </c>
      <c r="D879" s="7" t="n">
        <f>HYPERLINK("https://www.somogyi.sk/product/nebo-einstein-250-neb-hlp-1011-g-19134","https://www.somogyi.sk/product/nebo-einstein-250-neb-hlp-1011-g-19134")</f>
        <v>0.0</v>
      </c>
      <c r="E879" s="7" t="n">
        <f>HYPERLINK("https://www.somogyi.sk/data/img/product_main_images/small/19134.jpg","https://www.somogyi.sk/data/img/product_main_images/small/19134.jpg")</f>
        <v>0.0</v>
      </c>
      <c r="F879" s="2" t="inlineStr">
        <is>
          <t>5060945231933</t>
        </is>
      </c>
      <c r="G879" s="4" t="inlineStr">
        <is>
          <t xml:space="preserve"> • materiál: ABS a hliník 
 • typy prevádzok: 7 druhov 
 •  
 • regulovateľná svietivosť: áno 
 • N/A: áno 
 • N/A: áno 
 • vlastnosť: nakloniteľný v 180° 
 • napájanie: 3 x AAA batéria (je príslušenstvom) 
 • rozmery: 10,2 x 3,9 x 3,9 cm (bez čelenky)</t>
        </is>
      </c>
    </row>
    <row r="880">
      <c r="A880" s="3" t="inlineStr">
        <is>
          <t>NEB-HLP-0005-G</t>
        </is>
      </c>
      <c r="B880" s="2" t="inlineStr">
        <is>
          <t>NEBO EINSTEIN™ 400, čelovka</t>
        </is>
      </c>
      <c r="C880" s="1" t="n">
        <v>31.69</v>
      </c>
      <c r="D880" s="7" t="n">
        <f>HYPERLINK("https://www.somogyi.sk/product/nebo-einstein-400-celovka-neb-hlp-0005-g-17405","https://www.somogyi.sk/product/nebo-einstein-400-celovka-neb-hlp-0005-g-17405")</f>
        <v>0.0</v>
      </c>
      <c r="E880" s="7" t="n">
        <f>HYPERLINK("https://www.somogyi.sk/data/img/product_main_images/small/17405.jpg","https://www.somogyi.sk/data/img/product_main_images/small/17405.jpg")</f>
        <v>0.0</v>
      </c>
      <c r="F880" s="2" t="inlineStr">
        <is>
          <t>5060063228341</t>
        </is>
      </c>
      <c r="G880" s="4" t="inlineStr">
        <is>
          <t xml:space="preserve"> • materiál: ABS a hliník 
 • typy prevádzok: 5 druhov 
 • svietivosť: max. 400 lm 
 •  
 • ochrana proti vode: IPX4 
 • napájanie: zabudovaný Li-Po akumulátor 300 mAh 
 • rozmery: (svietidlo) 5,7 x 3,2 x 3,2 cm</t>
        </is>
      </c>
    </row>
    <row r="881">
      <c r="A881" s="3" t="inlineStr">
        <is>
          <t>NE0015</t>
        </is>
      </c>
      <c r="B881" s="2" t="inlineStr">
        <is>
          <t>NEBO OMNI 2000</t>
        </is>
      </c>
      <c r="C881" s="1" t="n">
        <v>49.09</v>
      </c>
      <c r="D881" s="7" t="n">
        <f>HYPERLINK("https://www.somogyi.sk/product/nebo-omni-2000-ne0015-17427","https://www.somogyi.sk/product/nebo-omni-2000-ne0015-17427")</f>
        <v>0.0</v>
      </c>
      <c r="E881" s="7" t="n">
        <f>HYPERLINK("https://www.somogyi.sk/data/img/product_main_images/small/17427.jpg","https://www.somogyi.sk/data/img/product_main_images/small/17427.jpg")</f>
        <v>0.0</v>
      </c>
      <c r="F881" s="2" t="inlineStr">
        <is>
          <t>5060063227801</t>
        </is>
      </c>
      <c r="G881" s="4" t="inlineStr">
        <is>
          <t xml:space="preserve"> • materiál: kov / plast / guma 
 • typy prevádzok: 6 druhov 
 • svietivosť: max. 2000 lm 
 •  
 • N/A: 4000 mAh power bank 
 • ochrana proti vode: vodotesné a odolné voči nárazom 
 • zobrazenie nízkeho napätia: áno 
 • napájanie: nabíjateľný Li-ion akumulátor 4000 mAh</t>
        </is>
      </c>
    </row>
    <row r="882">
      <c r="A882" s="3" t="inlineStr">
        <is>
          <t>NEB-HLP-1001-G</t>
        </is>
      </c>
      <c r="B882" s="2" t="inlineStr">
        <is>
          <t>NEBO TRANSEND™ 1500, čelovka</t>
        </is>
      </c>
      <c r="C882" s="1" t="n">
        <v>68.69</v>
      </c>
      <c r="D882" s="7" t="n">
        <f>HYPERLINK("https://www.somogyi.sk/product/nebo-transend-1500-celovka-neb-hlp-1001-g-17819","https://www.somogyi.sk/product/nebo-transend-1500-celovka-neb-hlp-1001-g-17819")</f>
        <v>0.0</v>
      </c>
      <c r="E882" s="7" t="n">
        <f>HYPERLINK("https://www.somogyi.sk/data/img/product_main_images/small/17819.jpg","https://www.somogyi.sk/data/img/product_main_images/small/17819.jpg")</f>
        <v>0.0</v>
      </c>
      <c r="F882" s="2" t="inlineStr">
        <is>
          <t>5060063228211</t>
        </is>
      </c>
      <c r="G882" s="4" t="inlineStr">
        <is>
          <t xml:space="preserve"> • materiál: eloxovaný hliník leteckej kvality 
 • typy prevádzok: 5 druhov 
 •  
 • N/A: áno 
 • N/A: áno 
 • magnetický podstavec: áno 
 • ochrana proti vode: vodotesný a odolný voči nárazom (IPX7) 
 • zobrazenie nízkeho napätia: áno 
 • napájanie: akumulátor: Li-ion 18650,  3200 mAh 
 • ďalšie informácie: odstrániteľný držiak, nastaviteľný uhol skonu 
 • rozmery: 2,6 x 3,6 x 9,5 cm (svietidlo)</t>
        </is>
      </c>
    </row>
    <row r="883">
      <c r="A883" s="3" t="inlineStr">
        <is>
          <t>NEB-HLP-7000-G</t>
        </is>
      </c>
      <c r="B883" s="2" t="inlineStr">
        <is>
          <t>NEBO 150 HEADLAMP</t>
        </is>
      </c>
      <c r="C883" s="1" t="n">
        <v>9.99</v>
      </c>
      <c r="D883" s="7" t="n">
        <f>HYPERLINK("https://www.somogyi.sk/product/nebo-150-headlamp-neb-hlp-7000-g-19183","https://www.somogyi.sk/product/nebo-150-headlamp-neb-hlp-7000-g-19183")</f>
        <v>0.0</v>
      </c>
      <c r="E883" s="7" t="n">
        <f>HYPERLINK("https://www.somogyi.sk/data/img/product_main_images/small/19183.jpg","https://www.somogyi.sk/data/img/product_main_images/small/19183.jpg")</f>
        <v>0.0</v>
      </c>
      <c r="F883" s="2" t="inlineStr">
        <is>
          <t>5060063228860</t>
        </is>
      </c>
      <c r="G883" s="4" t="inlineStr">
        <is>
          <t xml:space="preserve"> • materiál: ABS plast 
 • typy prevádzok: 3 druhy 
 •  
 • charakteristiky: COB LED • predné za-/vypnutie a tlačidlo voľby režimu 
 • ochrana proti vode: IP44 
 • napájanie: 3 x AAA batéria, je príslušenstvom 
 • rozmery: 58 x 23 x 38 mm (bez čelenky) 
 • hmotnosť: 39 g</t>
        </is>
      </c>
    </row>
    <row r="884">
      <c r="A884" s="3" t="inlineStr">
        <is>
          <t>NE1041</t>
        </is>
      </c>
      <c r="B884" s="2" t="inlineStr">
        <is>
          <t>NEBO BIG LARRY 3</t>
        </is>
      </c>
      <c r="C884" s="1" t="n">
        <v>26.49</v>
      </c>
      <c r="D884" s="7" t="n">
        <f>HYPERLINK("https://www.somogyi.sk/product/nebo-big-larry-3-ne1041-18390","https://www.somogyi.sk/product/nebo-big-larry-3-ne1041-18390")</f>
        <v>0.0</v>
      </c>
      <c r="E884" s="7" t="n">
        <f>HYPERLINK("https://www.somogyi.sk/data/img/product_main_images/small/18390.jpg","https://www.somogyi.sk/data/img/product_main_images/small/18390.jpg")</f>
        <v>0.0</v>
      </c>
      <c r="F884" s="2" t="inlineStr">
        <is>
          <t>5060945230301</t>
        </is>
      </c>
      <c r="G884" s="4" t="inlineStr">
        <is>
          <t xml:space="preserve"> • 600 lm batériové montážne svietidlo  
 • eloxovaný hliník leteckej kvality 
 • vodotesné a odolné voči nárazom (IPX4) 
 • reguľovateľná svietivosť, s pamäťou 
 • Direct-to-Red 
 • oceľový štipec na opasok 
 • silný magnet na konci 
 • režimy: 
 • baterka (220 lm) - 8 h / 82 m 
 • montážne svietidlo (600 lm) - 2,5 h / 33 m 
 • červené svetlo (40 lm) - 20 h / 7 m 
 • červený stroboskop - 40 h / 7 m 
 • napájanie: 3 x AA batéria (je príslušenstvom) 
 • rozmery: 19,5 x 2,5 x 2,5 cm</t>
        </is>
      </c>
    </row>
    <row r="885">
      <c r="A885" s="3" t="inlineStr">
        <is>
          <t>NEB-FLT-1018-G</t>
        </is>
      </c>
      <c r="B885" s="2" t="inlineStr">
        <is>
          <t>NEBO Master Series FL750</t>
        </is>
      </c>
      <c r="C885" s="1" t="n">
        <v>52.79</v>
      </c>
      <c r="D885" s="7" t="n">
        <f>HYPERLINK("https://www.somogyi.sk/product/nebo-master-series-fl750-neb-flt-1018-g-18041","https://www.somogyi.sk/product/nebo-master-series-fl750-neb-flt-1018-g-18041")</f>
        <v>0.0</v>
      </c>
      <c r="E885" s="7" t="n">
        <f>HYPERLINK("https://www.somogyi.sk/data/img/product_main_images/small/18041.jpg","https://www.somogyi.sk/data/img/product_main_images/small/18041.jpg")</f>
        <v>0.0</v>
      </c>
      <c r="F885" s="2" t="inlineStr">
        <is>
          <t>5060945230035</t>
        </is>
      </c>
      <c r="G885" s="4" t="inlineStr">
        <is>
          <t xml:space="preserve"> • materiál: eloxovaný hliník leteckej kvality 
 • typy prevádzok: 5 druhov 
 •  
 • N/A: x2 
 • N/A: magnetický kotúč výberu režimu 
 • N/A: áno 
 • magnetický podstavec: áno 
 • ochrana proti vode: IP67 
 • napájanie: nabíjateľný akumulátor: 16340 
 • rozmery: 13,5 x 3,5 x 3,5 cm</t>
        </is>
      </c>
    </row>
    <row r="886">
      <c r="A886" s="3" t="inlineStr">
        <is>
          <t>NE6526</t>
        </is>
      </c>
      <c r="B886" s="2" t="inlineStr">
        <is>
          <t>NEBO ARMOR 3</t>
        </is>
      </c>
      <c r="C886" s="1" t="n">
        <v>16.19</v>
      </c>
      <c r="D886" s="7" t="n">
        <f>HYPERLINK("https://www.somogyi.sk/product/nebo-armor-3-ne6526-18125","https://www.somogyi.sk/product/nebo-armor-3-ne6526-18125")</f>
        <v>0.0</v>
      </c>
      <c r="E886" s="7" t="n">
        <f>HYPERLINK("https://www.somogyi.sk/data/img/product_main_images/small/18125.jpg","https://www.somogyi.sk/data/img/product_main_images/small/18125.jpg")</f>
        <v>0.0</v>
      </c>
      <c r="F886" s="2" t="inlineStr">
        <is>
          <t>5060063226712</t>
        </is>
      </c>
      <c r="G886" s="4" t="inlineStr">
        <is>
          <t xml:space="preserve"> • typy prevádzok: 3 režimy 
 • svietivosť: COB montážne svietidlo: 360 lm • spot svietidlo: 160 lm • červené COB montážne svietidlo: 40 lm 
 • prevádzkový čas: COB montážne svietidlo: 2,5 h • spot svietidlo: 5 h • červené  COB montážne svietidlo: 1,5 h 
 • N/A: COB montážne svietidlo: 44 m • spot svietidlo: 83 m • červené COB montážne svietidlo: 16 m 
 • regulovateľná svietivosť: áno 
 • N/A: áno 
 • magnetický podstavec: áno (nakloniteľná) 
 • napájanie: 3 x AAA batéria (je príslušenstvom) 
 • ďalšie informácie: protišmyková gumová vrstva • oceľový štipec 
 • rozmery: 14,6 x 6,2 x 3,2 cm 
 • hmotnosť: 195 gr</t>
        </is>
      </c>
    </row>
    <row r="887">
      <c r="A887" s="3" t="inlineStr">
        <is>
          <t>NEB-FLT-1009-G</t>
        </is>
      </c>
      <c r="B887" s="2" t="inlineStr">
        <is>
          <t>NEBO Master Series FL3000</t>
        </is>
      </c>
      <c r="C887" s="1" t="n">
        <v>76.69</v>
      </c>
      <c r="D887" s="7" t="n">
        <f>HYPERLINK("https://www.somogyi.sk/product/nebo-master-series-fl3000-neb-flt-1009-g-18043","https://www.somogyi.sk/product/nebo-master-series-fl3000-neb-flt-1009-g-18043")</f>
        <v>0.0</v>
      </c>
      <c r="E887" s="7" t="n">
        <f>HYPERLINK("https://www.somogyi.sk/data/img/product_main_images/small/18043.jpg","https://www.somogyi.sk/data/img/product_main_images/small/18043.jpg")</f>
        <v>0.0</v>
      </c>
      <c r="F887" s="2" t="inlineStr">
        <is>
          <t>5060945230059</t>
        </is>
      </c>
      <c r="G887" s="4" t="inlineStr">
        <is>
          <t xml:space="preserve"> • materiál: eloxovaný hliník leteckej kvality 
 • typy prevádzok: 5 druhov 
 •  
 • N/A: x3 
 • N/A: magnetický kotúč výberu režimu 
 • N/A: áno 
 • magnetický podstavec: áno 
 • ochrana proti vode: IP67 
 • napájanie: nabíjateľný akumulátor: 18650 
 • rozmery: 17,7 x 4,45 x 13 cm</t>
        </is>
      </c>
    </row>
    <row r="888">
      <c r="A888" s="3" t="inlineStr">
        <is>
          <t>NEB-LTN-1003-G</t>
        </is>
      </c>
      <c r="B888" s="2" t="inlineStr">
        <is>
          <t>NEBO GALILEO™ AIR</t>
        </is>
      </c>
      <c r="C888" s="1" t="n">
        <v>38.19</v>
      </c>
      <c r="D888" s="7" t="n">
        <f>HYPERLINK("https://www.somogyi.sk/product/nebo-galileo-air-neb-ltn-1003-g-17820","https://www.somogyi.sk/product/nebo-galileo-air-neb-ltn-1003-g-17820")</f>
        <v>0.0</v>
      </c>
      <c r="E888" s="7" t="n">
        <f>HYPERLINK("https://www.somogyi.sk/data/img/product_main_images/small/17820.jpg","https://www.somogyi.sk/data/img/product_main_images/small/17820.jpg")</f>
        <v>0.0</v>
      </c>
      <c r="F888" s="2" t="inlineStr">
        <is>
          <t>5060063229317</t>
        </is>
      </c>
      <c r="G888" s="4" t="inlineStr">
        <is>
          <t xml:space="preserve"> • typy prevádzok: 6 druhov 
 •  
 • N/A: áno 
 • N/A: áno 
 • ochrana proti vode: IPX4 
 • napájanie: akumulátor: Li-po 104050, 2500 mAh 
 • rozmery: 5,7 x 12 x 12,4 cm (v zasunutom stave)</t>
        </is>
      </c>
    </row>
    <row r="889">
      <c r="A889" s="3" t="inlineStr">
        <is>
          <t>NEB-LTN-0004-G</t>
        </is>
      </c>
      <c r="B889" s="2" t="inlineStr">
        <is>
          <t>NEBO GALILEO™ 1000</t>
        </is>
      </c>
      <c r="C889" s="1" t="n">
        <v>49.39</v>
      </c>
      <c r="D889" s="7" t="n">
        <f>HYPERLINK("https://www.somogyi.sk/product/nebo-galileo-1000-neb-ltn-0004-g-17407","https://www.somogyi.sk/product/nebo-galileo-1000-neb-ltn-0004-g-17407")</f>
        <v>0.0</v>
      </c>
      <c r="E889" s="7" t="n">
        <f>HYPERLINK("https://www.somogyi.sk/data/img/product_main_images/small/17407.jpg","https://www.somogyi.sk/data/img/product_main_images/small/17407.jpg")</f>
        <v>0.0</v>
      </c>
      <c r="F889" s="2" t="inlineStr">
        <is>
          <t>5060063228402</t>
        </is>
      </c>
      <c r="G889" s="4" t="inlineStr">
        <is>
          <t xml:space="preserve"> • materiál: odolný ABS plast 
 • typy prevádzok: 5 druhov 
 • svietivosť: max.1000 lm 
 •  
 • N/A: áno 
 • ochrana proti vode: vodotesný a odolný voči prachu  (IPX4) 
 • napájanie: Li-ion akumulátor 2600 mAh (je príslušenstvom) alebo 6 x D batéria (nie je príslušenstvom) 
 • rozmery: 26 x 13,5 x 13,5 cm</t>
        </is>
      </c>
    </row>
    <row r="890">
      <c r="A890" s="3" t="inlineStr">
        <is>
          <t>NEB-SPT-1004-G</t>
        </is>
      </c>
      <c r="B890" s="2" t="inlineStr">
        <is>
          <t>NEBO LUXTREME SL25R</t>
        </is>
      </c>
      <c r="C890" s="1" t="n">
        <v>68.09</v>
      </c>
      <c r="D890" s="7" t="n">
        <f>HYPERLINK("https://www.somogyi.sk/product/nebo-luxtreme-sl25r-neb-spt-1004-g-17824","https://www.somogyi.sk/product/nebo-luxtreme-sl25r-neb-spt-1004-g-17824")</f>
        <v>0.0</v>
      </c>
      <c r="E890" s="7" t="n">
        <f>HYPERLINK("https://www.somogyi.sk/data/img/product_main_images/small/17824.jpg","https://www.somogyi.sk/data/img/product_main_images/small/17824.jpg")</f>
        <v>0.0</v>
      </c>
      <c r="F890" s="2" t="inlineStr">
        <is>
          <t>5060063229379</t>
        </is>
      </c>
      <c r="G890" s="4" t="inlineStr">
        <is>
          <t xml:space="preserve"> • materiál: eloxovaný hliník leteckej kvality 
 • typy prevádzok: 3 druhy 
 •  
 • N/A: áno 
 • magnetický podstavec: áno 
 • ochrana proti vode: vodotesný a odolný voči nárazom  (IP67) 
 • napájanie: akumulátor: Li-Ion 18650, 2000 mAh 
 • rozmery: 18 x 13,2 x 6 cm</t>
        </is>
      </c>
    </row>
    <row r="891">
      <c r="A891" s="3" t="inlineStr">
        <is>
          <t>NEB-OTH-0001-G</t>
        </is>
      </c>
      <c r="B891" s="2" t="inlineStr">
        <is>
          <t>NEBO HIGH BRIGHT 6000</t>
        </is>
      </c>
      <c r="C891" s="1" t="n">
        <v>30.69</v>
      </c>
      <c r="D891" s="7" t="n">
        <f>HYPERLINK("https://www.somogyi.sk/product/nebo-high-bright-6000-neb-oth-0001-g-17434","https://www.somogyi.sk/product/nebo-high-bright-6000-neb-oth-0001-g-17434")</f>
        <v>0.0</v>
      </c>
      <c r="E891" s="7" t="n">
        <f>HYPERLINK("https://www.somogyi.sk/data/img/product_main_images/small/17434.jpg","https://www.somogyi.sk/data/img/product_main_images/small/17434.jpg")</f>
        <v>0.0</v>
      </c>
      <c r="F891" s="2" t="inlineStr">
        <is>
          <t>5060063228617</t>
        </is>
      </c>
      <c r="G891" s="4" t="inlineStr">
        <is>
          <t xml:space="preserve"> • svietivosť: 6000 lm 
 • ďalšie informácie: 90 stupňov nastaviteľné LED panely • rýchla a jednoduchá inštalácia • energetická úspornosť – iba 60 W • o 600 % viac svetla ako priemerných 60 W 
 • rozmery: (so zloženými panelmi): 11,6 x 13 x 12,7 cm</t>
        </is>
      </c>
    </row>
    <row r="892">
      <c r="A892" s="3" t="inlineStr">
        <is>
          <t>NEB-6373-G</t>
        </is>
      </c>
      <c r="B892" s="2" t="inlineStr">
        <is>
          <t>NEBO LIL LARRY</t>
        </is>
      </c>
      <c r="C892" s="1" t="n">
        <v>13.79</v>
      </c>
      <c r="D892" s="7" t="n">
        <f>HYPERLINK("https://www.somogyi.sk/product/nebo-lil-larry-neb-6373-g-17408","https://www.somogyi.sk/product/nebo-lil-larry-neb-6373-g-17408")</f>
        <v>0.0</v>
      </c>
      <c r="E892" s="7" t="n">
        <f>HYPERLINK("https://www.somogyi.sk/data/img/product_main_images/small/17408.jpg","https://www.somogyi.sk/data/img/product_main_images/small/17408.jpg")</f>
        <v>0.0</v>
      </c>
      <c r="F892" s="2" t="inlineStr">
        <is>
          <t>5060063228556</t>
        </is>
      </c>
      <c r="G892" s="4" t="inlineStr">
        <is>
          <t xml:space="preserve"> • typy prevádzok: 2 druhy: vysokovýkonné 250 lumenové COB LED montážne svietidlo / vysokovýkonné COB LED červené výstražné blikanie 
 • svietivosť: 250 lm 
 • magnetický podstavec: áno 
 • ochrana proti vode: vodotesný a odolný voči nárazom 
 • napájanie: 3 x AAA batéria (je prísl.) 
 • rozmery: 15,4 x 1,5 x 2 cm</t>
        </is>
      </c>
    </row>
    <row r="893">
      <c r="A893" s="3" t="inlineStr">
        <is>
          <t>NEB-LTN-1008-G</t>
        </is>
      </c>
      <c r="B893" s="2" t="inlineStr">
        <is>
          <t>NEB-LTN-1008-G</t>
        </is>
      </c>
      <c r="C893" s="1" t="n">
        <v>31.09</v>
      </c>
      <c r="D893" s="7" t="n">
        <f>HYPERLINK("https://www.somogyi.sk/product/neb-ltn-1008-g-neb-ltn-1008-g-18559","https://www.somogyi.sk/product/neb-ltn-1008-g-neb-ltn-1008-g-18559")</f>
        <v>0.0</v>
      </c>
      <c r="E893" s="7" t="n">
        <f>HYPERLINK("https://www.somogyi.sk/data/img/product_main_images/small/18559.jpg","https://www.somogyi.sk/data/img/product_main_images/small/18559.jpg")</f>
        <v>0.0</v>
      </c>
      <c r="F893" s="2" t="inlineStr">
        <is>
          <t>5060945231575</t>
        </is>
      </c>
      <c r="G893" s="4" t="inlineStr">
        <is>
          <t xml:space="preserve"> • typy prevádzok: 6 druhov 
 •  
 • N/A: áno 
 •  
 • ochrana proti vode: IPX4 
 • napájanie: 3xAA  batéria (je príslušenstvom) 
 • ďalšie informácie: kompaktné a ľahké prevedenie</t>
        </is>
      </c>
    </row>
    <row r="894">
      <c r="A894" s="3" t="inlineStr">
        <is>
          <t>NE6665</t>
        </is>
      </c>
      <c r="B894" s="2" t="inlineStr">
        <is>
          <t>NEBO TANGO</t>
        </is>
      </c>
      <c r="C894" s="1" t="n">
        <v>29.69</v>
      </c>
      <c r="D894" s="7" t="n">
        <f>HYPERLINK("https://www.somogyi.sk/product/nebo-tango-ne6665-18688","https://www.somogyi.sk/product/nebo-tango-ne6665-18688")</f>
        <v>0.0</v>
      </c>
      <c r="E894" s="7" t="n">
        <f>HYPERLINK("https://www.somogyi.sk/data/img/product_main_images/small/18688.jpg","https://www.somogyi.sk/data/img/product_main_images/small/18688.jpg")</f>
        <v>0.0</v>
      </c>
      <c r="F894" s="2" t="inlineStr">
        <is>
          <t>5060063225708</t>
        </is>
      </c>
      <c r="G894" s="4" t="inlineStr">
        <is>
          <t xml:space="preserve"> • charakteristiky: nastaviteľná svietivosť • pamäť svietivosti • 180° otočný podstavec 
 • N/A: áno (2600 mAh) 
 • ochrana proti vode: odolný proti vode a nárazom 
 • napájanie: nabíjateľný akumulátor (2600 mAh) 
 • ďalšie informácie: protišmyková gumová vrstva 
 • rozmery: 14,9 x 14,9 x 4,44 cm 
 • hmotnosť: 317,5 g 
 • príslušenstvo: micro USB - USB kábel, AC adaptér</t>
        </is>
      </c>
    </row>
    <row r="895">
      <c r="A895" s="3" t="inlineStr">
        <is>
          <t>NEB-LTN-1011-G</t>
        </is>
      </c>
      <c r="B895" s="2" t="inlineStr">
        <is>
          <t>NEBO GALILEO™ TEMPEST 350</t>
        </is>
      </c>
      <c r="C895" s="1" t="n">
        <v>24.09</v>
      </c>
      <c r="D895" s="7" t="n">
        <f>HYPERLINK("https://www.somogyi.sk/product/nebo-galileo-tempest-350-neb-ltn-1011-g-18558","https://www.somogyi.sk/product/nebo-galileo-tempest-350-neb-ltn-1011-g-18558")</f>
        <v>0.0</v>
      </c>
      <c r="E895" s="7" t="n">
        <f>HYPERLINK("https://www.somogyi.sk/data/img/product_main_images/small/18558.jpg","https://www.somogyi.sk/data/img/product_main_images/small/18558.jpg")</f>
        <v>0.0</v>
      </c>
      <c r="F895" s="2" t="inlineStr">
        <is>
          <t>5060945231568</t>
        </is>
      </c>
      <c r="G895" s="4" t="inlineStr">
        <is>
          <t xml:space="preserve"> • typy prevádzok: 8 svietiacich režimov 
 • svietivosť: 350 lm 
 • magnetický podstavec: áno 
 • ochrana proti vode: IPX7 
 • napájanie: 3xAA  batéria (je príslušenstvom)</t>
        </is>
      </c>
    </row>
    <row r="896">
      <c r="A896" s="3" t="inlineStr">
        <is>
          <t>NEB-SPT-1005-G</t>
        </is>
      </c>
      <c r="B896" s="2" t="inlineStr">
        <is>
          <t>NEBO Master Series SL25</t>
        </is>
      </c>
      <c r="C896" s="1" t="n">
        <v>102.9</v>
      </c>
      <c r="D896" s="7" t="n">
        <f>HYPERLINK("https://www.somogyi.sk/product/nebo-master-series-sl25-neb-spt-1005-g-18040","https://www.somogyi.sk/product/nebo-master-series-sl25-neb-spt-1005-g-18040")</f>
        <v>0.0</v>
      </c>
      <c r="E896" s="7" t="n">
        <f>HYPERLINK("https://www.somogyi.sk/data/img/product_main_images/small/18040.jpg","https://www.somogyi.sk/data/img/product_main_images/small/18040.jpg")</f>
        <v>0.0</v>
      </c>
      <c r="F896" s="2" t="inlineStr">
        <is>
          <t>5060945230028</t>
        </is>
      </c>
      <c r="G896" s="4" t="inlineStr">
        <is>
          <t xml:space="preserve"> • materiál: eloxovaný hliník leteckej kvality 
 • typy prevádzok: 3 druhy 
 •  
 • N/A: magnetický 
 • N/A: áno 
 • charakteristiky: možnosť montáže na stojan (1/4-20) • obojstranný/odnímateľný oceľový štipec • ergonomická pogumovaná rukoväť 
 •  
 • ochrana proti vode: IP67 
 •  
 • rozmery: 19,56 x 6,1 x 14,63 cm</t>
        </is>
      </c>
    </row>
    <row r="897">
      <c r="A897" s="3" t="inlineStr">
        <is>
          <t>NEB-HLP-0006-G</t>
        </is>
      </c>
      <c r="B897" s="2" t="inlineStr">
        <is>
          <t>NEBO EINSTEIN™ 500, čelovka</t>
        </is>
      </c>
      <c r="C897" s="1" t="n">
        <v>24.89</v>
      </c>
      <c r="D897" s="7" t="n">
        <f>HYPERLINK("https://www.somogyi.sk/product/nebo-einstein-500-celovka-neb-hlp-0006-g-17404","https://www.somogyi.sk/product/nebo-einstein-500-celovka-neb-hlp-0006-g-17404")</f>
        <v>0.0</v>
      </c>
      <c r="E897" s="7" t="n">
        <f>HYPERLINK("https://www.somogyi.sk/data/img/product_main_images/small/17404.jpg","https://www.somogyi.sk/data/img/product_main_images/small/17404.jpg")</f>
        <v>0.0</v>
      </c>
      <c r="F897" s="2" t="inlineStr">
        <is>
          <t>5060063228358</t>
        </is>
      </c>
      <c r="G897" s="4" t="inlineStr">
        <is>
          <t xml:space="preserve"> • materiál: ABS a hliník 
 • typy prevádzok: 5 druhov 
 • svietivosť: max. 500 lm 
 •  
 • ochrana proti vode: IPX4 
 • napájanie: 3 x AAA batéria (je prísl.) 
 • rozmery: (svietidlo) 10,2 x 3,9 x 3,9 cm</t>
        </is>
      </c>
    </row>
    <row r="898">
      <c r="A898" s="3" t="inlineStr">
        <is>
          <t>NE6908</t>
        </is>
      </c>
      <c r="B898" s="2" t="inlineStr">
        <is>
          <t>NEBO BIG POPPY RC</t>
        </is>
      </c>
      <c r="C898" s="1" t="n">
        <v>30.29</v>
      </c>
      <c r="D898" s="7" t="n">
        <f>HYPERLINK("https://www.somogyi.sk/product/nebo-big-poppy-rc-ne6908-17433","https://www.somogyi.sk/product/nebo-big-poppy-rc-ne6908-17433")</f>
        <v>0.0</v>
      </c>
      <c r="E898" s="7" t="n">
        <f>HYPERLINK("https://www.somogyi.sk/data/img/product_main_images/small/17433.jpg","https://www.somogyi.sk/data/img/product_main_images/small/17433.jpg")</f>
        <v>0.0</v>
      </c>
      <c r="F898" s="2" t="inlineStr">
        <is>
          <t>5060063227719</t>
        </is>
      </c>
      <c r="G898" s="4" t="inlineStr">
        <is>
          <t xml:space="preserve"> • typy prevádzok: 3 druhy 
 • svietivosť: max.300 lm 
 •  
 • N/A: áno 
 • ochrana proti vode: vodotesný a odolný voči nárazom 
 • napájanie: Li-ion akumulátor 2600 mAh 
 • rozmery: 15,1 x Ø10,3 cm 
 • N/A: áno (lampáš a reflektor)</t>
        </is>
      </c>
    </row>
    <row r="899">
      <c r="A899" s="3" t="inlineStr">
        <is>
          <t>NEB-LTN-6555-G</t>
        </is>
      </c>
      <c r="B899" s="2" t="inlineStr">
        <is>
          <t>NEBO POPPY</t>
        </is>
      </c>
      <c r="C899" s="1" t="n">
        <v>17.99</v>
      </c>
      <c r="D899" s="7" t="n">
        <f>HYPERLINK("https://www.somogyi.sk/product/nebo-poppy-neb-ltn-6555-g-18687","https://www.somogyi.sk/product/nebo-poppy-neb-ltn-6555-g-18687")</f>
        <v>0.0</v>
      </c>
      <c r="E899" s="7" t="n">
        <f>HYPERLINK("https://www.somogyi.sk/data/img/product_main_images/small/18687.jpg","https://www.somogyi.sk/data/img/product_main_images/small/18687.jpg")</f>
        <v>0.0</v>
      </c>
      <c r="F899" s="2" t="inlineStr">
        <is>
          <t>5060063225395</t>
        </is>
      </c>
      <c r="G899" s="4" t="inlineStr">
        <is>
          <t xml:space="preserve"> • svietivosť: lampáš: 300 lm, reflektor: 120 lm 
 • prevádzkový čas: lampáš: 7,5 h, reflektor: 18 h 
 • regulovateľná svietivosť: áno 
 •  
 • ochrana proti vode: odolný proti vode a nárazom 
 • N/A: áno 
 • napájanie: 3xAA  batéria (je príslušenstvom) 
 • ďalšie informácie: nastaviteľný držiak 
 • rozmery: 14 x Ø8,7 cm (v poskladanom stave)</t>
        </is>
      </c>
    </row>
    <row r="900">
      <c r="A900" s="3" t="inlineStr">
        <is>
          <t>NEB-BAT-0006-G</t>
        </is>
      </c>
      <c r="B900" s="2" t="inlineStr">
        <is>
          <t>NEBO Akumulátor, 2x21700, 9000mAh</t>
        </is>
      </c>
      <c r="C900" s="1" t="n">
        <v>29.69</v>
      </c>
      <c r="D900" s="7" t="n">
        <f>HYPERLINK("https://www.somogyi.sk/product/nebo-akumulator-2x21700-9000mah-neb-bat-0006-g-19185","https://www.somogyi.sk/product/nebo-akumulator-2x21700-9000mah-neb-bat-0006-g-19185")</f>
        <v>0.0</v>
      </c>
      <c r="E900" s="7" t="n">
        <f>HYPERLINK("https://www.somogyi.sk/data/img/product_main_images/small/19185.jpg","https://www.somogyi.sk/data/img/product_main_images/small/19185.jpg")</f>
        <v>0.0</v>
      </c>
      <c r="F900" s="2" t="inlineStr">
        <is>
          <t>5060945232107</t>
        </is>
      </c>
      <c r="G900" s="4" t="inlineStr">
        <is>
          <t xml:space="preserve"> • typ: Li-ion 2 x 21700 nabíjateľný akumulátor 
 • kapacita: 9000 mAh 
 • napätie: 3,7 V 
 • rozmery: 75 x 40 x 21 mm 
 • Kompatibilný v výrobkami: 
 • LUXTREME SL50 (NEB-SPT-1003-G) 
 • LUXTREME SL75 (NEB-SPT-1000-G) 
 • LUXTREME SL100 (NEB-SPT-1001-G) 
 • Master Series SL25 (NEB-SPT-1005-G)</t>
        </is>
      </c>
    </row>
    <row r="901">
      <c r="A901" s="3" t="inlineStr">
        <is>
          <t>NEB-BAT-0007-G</t>
        </is>
      </c>
      <c r="B901" s="2" t="inlineStr">
        <is>
          <t>NEBO Akumulátor, 3X26650 5000mAh</t>
        </is>
      </c>
      <c r="C901" s="1" t="n">
        <v>41.99</v>
      </c>
      <c r="D901" s="7" t="n">
        <f>HYPERLINK("https://www.somogyi.sk/product/nebo-akumulator-3x26650-5000mah-neb-bat-0007-g-19186","https://www.somogyi.sk/product/nebo-akumulator-3x26650-5000mah-neb-bat-0007-g-19186")</f>
        <v>0.0</v>
      </c>
      <c r="E901" s="7" t="n">
        <f>HYPERLINK("https://www.somogyi.sk/data/img/product_main_images/small/19186.jpg","https://www.somogyi.sk/data/img/product_main_images/small/19186.jpg")</f>
        <v>0.0</v>
      </c>
      <c r="F901" s="2" t="inlineStr">
        <is>
          <t>5060945232114</t>
        </is>
      </c>
      <c r="G901" s="4" t="inlineStr">
        <is>
          <t xml:space="preserve"> • typ: Li-ion 3 x 26650 nabíjateľný akumulátor 
 • kapacita: 5000 mAh 
 • napätie: 10,8 V 
 • rozmery: 202,5 x 25,4 x 25,4 mm 
 • Kompatibilný v výrobkami: 
 • NEBO DAVINCI 18000 (NEB-FLT-1015-G)</t>
        </is>
      </c>
    </row>
    <row r="902">
      <c r="A902" s="3" t="inlineStr">
        <is>
          <t>NEB-BAT-0009-G</t>
        </is>
      </c>
      <c r="B902" s="2" t="inlineStr">
        <is>
          <t>NEBO Akumulátor, 2X26650 5000mAh</t>
        </is>
      </c>
      <c r="C902" s="1" t="n">
        <v>33.79</v>
      </c>
      <c r="D902" s="7" t="n">
        <f>HYPERLINK("https://www.somogyi.sk/product/nebo-akumulator-2x26650-5000mah-neb-bat-0009-g-19188","https://www.somogyi.sk/product/nebo-akumulator-2x26650-5000mah-neb-bat-0009-g-19188")</f>
        <v>0.0</v>
      </c>
      <c r="E902" s="7" t="n">
        <f>HYPERLINK("https://www.somogyi.sk/data/img/product_main_images/small/19188.jpg","https://www.somogyi.sk/data/img/product_main_images/small/19188.jpg")</f>
        <v>0.0</v>
      </c>
      <c r="F902" s="2" t="inlineStr">
        <is>
          <t>5060945232138</t>
        </is>
      </c>
      <c r="G902" s="4" t="inlineStr">
        <is>
          <t xml:space="preserve"> • typ: Li-ion 2 x 26650 nabíjateľný akumulátor 
 • kapacita: 5000 mAh 
 • napätie: 7,4 V 
 • rozmery: 135 x 25,4 x 25,4 mm 
 • Kompatibilný v výrobkami: 
 • NEBO DAVINCI 12000 Mag Dial (NEB-FLT-1070)</t>
        </is>
      </c>
    </row>
    <row r="903">
      <c r="A903" s="3" t="inlineStr">
        <is>
          <t>NEB-BAT-0010-G</t>
        </is>
      </c>
      <c r="B903" s="2" t="inlineStr">
        <is>
          <t>NEBO Akumulátor, 21700 4000MAH</t>
        </is>
      </c>
      <c r="C903" s="1" t="n">
        <v>20.99</v>
      </c>
      <c r="D903" s="7" t="n">
        <f>HYPERLINK("https://www.somogyi.sk/product/nebo-akumulator-21700-4000mah-neb-bat-0010-g-19189","https://www.somogyi.sk/product/nebo-akumulator-21700-4000mah-neb-bat-0010-g-19189")</f>
        <v>0.0</v>
      </c>
      <c r="E903" s="7" t="n">
        <f>HYPERLINK("https://www.somogyi.sk/data/img/product_main_images/small/19189.jpg","https://www.somogyi.sk/data/img/product_main_images/small/19189.jpg")</f>
        <v>0.0</v>
      </c>
      <c r="F903" s="2" t="inlineStr">
        <is>
          <t>5060945232145</t>
        </is>
      </c>
      <c r="G903" s="4" t="inlineStr">
        <is>
          <t xml:space="preserve"> • typ: Li-ion 21700 nabíjateľný akumulátor 
 • kapacita: 4000 mAh 
 • napätie: 3,7 V 
 • rozmery: 77 x 21,6 x 21,6 mm 
 • zabudovaná USB-C nabíjacia zásuvka (5V / 2A / 10W) 
 • LED kontrolka nabíjania 
 • príslušenstvo: USB-A - USB-C nabíjací kábel, 35 cm 
 • Kompatibilný v výrobkami: 
 • LUXTREME (NEB-FLT-1008) 
 • LUXTREME MZ60 BLUE LINE (NEB-FLT-0026) 
 • Master series FL3000 (NEB-FLT-1009) 
 • ILLUMATRACE BLOOD TRACKER (NEB-FLT-1036)</t>
        </is>
      </c>
    </row>
    <row r="904">
      <c r="A904" s="3" t="inlineStr">
        <is>
          <t>NEB-6746-G</t>
        </is>
      </c>
      <c r="B904" s="2" t="inlineStr">
        <is>
          <t>NEBO TAC SLYDE</t>
        </is>
      </c>
      <c r="C904" s="1" t="n">
        <v>17.99</v>
      </c>
      <c r="D904" s="7" t="n">
        <f>HYPERLINK("https://www.somogyi.sk/product/nebo-tac-slyde-neb-6746-g-19290","https://www.somogyi.sk/product/nebo-tac-slyde-neb-6746-g-19290")</f>
        <v>0.0</v>
      </c>
      <c r="E904" s="7" t="n">
        <f>HYPERLINK("https://www.somogyi.sk/data/img/product_main_images/small/19290.jpg","https://www.somogyi.sk/data/img/product_main_images/small/19290.jpg")</f>
        <v>0.0</v>
      </c>
      <c r="F904" s="2" t="inlineStr">
        <is>
          <t>5060063229164</t>
        </is>
      </c>
      <c r="G904" s="4" t="inlineStr">
        <is>
          <t xml:space="preserve"> • baterka a lampáš v jednom 
 • konvexná šošovka 
 • 12x nastaviteľný zoom 
 • eloxovaný hliník leteckej kvality 
 • vodotesná a odolná voči nárazom (IPX4) 
 • silný magnet na konci 
 • 5 režimov baterky: 
 • vysoká svietivosť (300 lm) – 2,5 h / 135 m 
 • stredná svietivosť (150 lm) - 6 h / 84 m 
 • nízka svietivosť (30 lm) - 22 h / 40 m 
 • blikanie (300 lm) - 6 h / 135 m 
 • S.O.S. (300 lm) - 48 h / 135 m  
 • 3 režimy lampáša: 
 • vysoká svietivosť (200 lm) - 3 h / 19 m 
 • nízka svietivosť (100 lm) - 6 h / 13 m 
 • blikajúce červené svetlo (20 lm) - 8 h / 6 m 
 • napájanie: 3 x AAA batéria (je príslušenstvom) 
 • rozmery (v zasunutom stave): 15,1 x Ø3,5 cm</t>
        </is>
      </c>
    </row>
    <row r="905">
      <c r="A905" s="3" t="inlineStr">
        <is>
          <t>NEB-HLP-0021-G</t>
        </is>
      </c>
      <c r="B905" s="2" t="inlineStr">
        <is>
          <t>NEBO CURVBEAM 600 FLEX</t>
        </is>
      </c>
      <c r="C905" s="1" t="n">
        <v>41.89</v>
      </c>
      <c r="D905" s="7" t="n">
        <f>HYPERLINK("https://www.somogyi.sk/product/nebo-curvbeam-600-flex-neb-hlp-0021-g-19285","https://www.somogyi.sk/product/nebo-curvbeam-600-flex-neb-hlp-0021-g-19285")</f>
        <v>0.0</v>
      </c>
      <c r="E905" s="7" t="n">
        <f>HYPERLINK("https://www.somogyi.sk/data/img/product_main_images/small/19285.jpg","https://www.somogyi.sk/data/img/product_main_images/small/19285.jpg")</f>
        <v>0.0</v>
      </c>
      <c r="F905" s="2" t="inlineStr">
        <is>
          <t>5060945231926</t>
        </is>
      </c>
      <c r="G905" s="4" t="inlineStr">
        <is>
          <t xml:space="preserve"> • akumulátorová 600 lm čelovka 
 • spot svietidlo + flexibilný COB LED 
 • široký, 180° uhol svietenia 
 • Smart Power Control™ 
 • Direct-to-Low™ 
 • akumulátor: USB-C nabíjateľný 1x Li-Ion 802938, 1100 mAh, 3,7 V 
 • Flex Power: možno prevádzkovať pomocou 3 x AAA batérie namiesto priloženého akumulátora 
 • nakloniteľné spot svietidlo v 20° 
 • ľahké, pohodlné, nízkoprofilové prevedenie 
 • nastaviteľná, reflexná čelenka 
 • BackBalance Fit™: držiak akumulátora na zadnej strane čelenky 
 • hliníková, TPR a ABS polymérová konštrukcia 
 • vodotesná a odolná voči nárazom (IPX4) 
 • príslušenstvo: USB-A - USB-C nabíjací kábel 
 • režimy: 
 • spot svietidlo, vysoká svietivosť (500 lm): 1 h 30 min / 96 m 
 • spot svietidlo, stredná svietivosť (150 lm): 5 h 30 min / 53 m 
 • spot svietidlo, nízka svietivosť (30 lm): 10 h / 23 m 
 • 180° COB vysoká svietivosť (300 lm): 2 h / 18 m 
 • 180° COB nízka svietivosť (100 lm): 4 h / 11 m 
 • 180° COB + spot svietidlo (600 lm): 1 h 30 min / 85 m</t>
        </is>
      </c>
    </row>
    <row r="906">
      <c r="A906" s="3" t="inlineStr">
        <is>
          <t>NEB-0031-G</t>
        </is>
      </c>
      <c r="B906" s="2" t="inlineStr">
        <is>
          <t>NEBO SLYDE KING 4K</t>
        </is>
      </c>
      <c r="C906" s="1" t="n">
        <v>73.49</v>
      </c>
      <c r="D906" s="7" t="n">
        <f>HYPERLINK("https://www.somogyi.sk/product/nebo-slyde-king-4k-neb-0031-g-19287","https://www.somogyi.sk/product/nebo-slyde-king-4k-neb-0031-g-19287")</f>
        <v>0.0</v>
      </c>
      <c r="E906" s="7" t="n">
        <f>HYPERLINK("https://www.somogyi.sk/data/img/product_main_images/small/19287.jpg","https://www.somogyi.sk/data/img/product_main_images/small/19287.jpg")</f>
        <v>0.0</v>
      </c>
      <c r="F906" s="2" t="inlineStr">
        <is>
          <t>5060945232046</t>
        </is>
      </c>
      <c r="G906" s="4" t="inlineStr">
        <is>
          <t xml:space="preserve"> • 4000 lm akumulátorová baterka a 1000 lm montážne svietidlo 
 • nabíjateľná, USB-C 
 • typ akumulátora: Li-ion, 3,7 V, 2600 mAh 
 • 4x nastaviteľný zoom 
 • nastaviteľná svietivosť 
 • Power Memory 
 • Direct-to-Red 
 • indikácia nízkeho nabitia akumulátora 
 • gumená rukoväť 
 • eloxovaný hliník leteckej kvality 
 • vodotesná (IPX7) a odolná voči nárazom 
 • silný magnet na konci 
 • baterka, vysoká svietivosť (4000 lm): 1 h / 350 m 
 • baterka, nízka svietivosť (400 lm): 6 h / 100 m 
 • montážne svietidlo, vysoká svietivosť (1000 lm): 4 h / 35 m 
 • montážne svietidlo, nízka svietivosť (100 lm): 24 h / 10 m 
 • červené svetlo, vysoká svietivosť (40 lm): 6 h / 9 m 
 • červené svetlo, nízka svietivosť (4 lm): 35 h / 3 m 
 • červené svetlo, blikanie (40 lm): 12 h / 9 m 
 • rozmery (v zasunutom stave): 21 x Ø 4,7 cm</t>
        </is>
      </c>
    </row>
    <row r="907">
      <c r="A907" s="3" t="inlineStr">
        <is>
          <t>NEB-FLT-1042-G</t>
        </is>
      </c>
      <c r="B907" s="2" t="inlineStr">
        <is>
          <t>NEBO SLIM MINI</t>
        </is>
      </c>
      <c r="C907" s="1" t="n">
        <v>26.29</v>
      </c>
      <c r="D907" s="7" t="n">
        <f>HYPERLINK("https://www.somogyi.sk/product/nebo-slim-mini-neb-flt-1042-g-19289","https://www.somogyi.sk/product/nebo-slim-mini-neb-flt-1042-g-19289")</f>
        <v>0.0</v>
      </c>
      <c r="E907" s="7" t="n">
        <f>HYPERLINK("https://www.somogyi.sk/data/img/product_main_images/small/19289.jpg","https://www.somogyi.sk/data/img/product_main_images/small/19289.jpg")</f>
        <v>0.0</v>
      </c>
      <c r="F907" s="2" t="inlineStr">
        <is>
          <t>5060945231247</t>
        </is>
      </c>
      <c r="G907" s="4" t="inlineStr">
        <is>
          <t xml:space="preserve"> • akumulátorová 250 lm baterka 
 • nabíjateľná, USB-C 
 • eloxovaný hliník leteckej kvality 
 • vodotesná a odolná voči nárazom (IPX4) 
 • akumulátor: 1x Li-ion 602040, 3,7 V, 450 mAh 
 • odolný štipec na opasok 
 • magnet na konci 
 • rozmery: 10,3 x 2,5 x 1,5 cm 
 • príslušenstvo: USB-C – USB-A kábel 
 • režimy: 
 • vysoká svietivosť (250 lm: 2 h / 67 m  
 • nízka svietivosť (25 lm): 10 h / 21 m</t>
        </is>
      </c>
    </row>
    <row r="908">
      <c r="A908" s="6" t="inlineStr">
        <is>
          <t xml:space="preserve">   Osvetlenie / Svietidlo na šiltovku, čelovka</t>
        </is>
      </c>
      <c r="B908" s="6" t="inlineStr">
        <is>
          <t/>
        </is>
      </c>
      <c r="C908" s="6" t="inlineStr">
        <is>
          <t/>
        </is>
      </c>
      <c r="D908" s="6" t="inlineStr">
        <is>
          <t/>
        </is>
      </c>
      <c r="E908" s="6" t="inlineStr">
        <is>
          <t/>
        </is>
      </c>
      <c r="F908" s="6" t="inlineStr">
        <is>
          <t/>
        </is>
      </c>
      <c r="G908" s="6" t="inlineStr">
        <is>
          <t/>
        </is>
      </c>
    </row>
    <row r="909">
      <c r="A909" s="3" t="inlineStr">
        <is>
          <t>PLF 19</t>
        </is>
      </c>
      <c r="B909" s="2" t="inlineStr">
        <is>
          <t>LED čelovka</t>
        </is>
      </c>
      <c r="C909" s="1" t="n">
        <v>7.19</v>
      </c>
      <c r="D909" s="7" t="n">
        <f>HYPERLINK("https://www.somogyi.sk/product/led-celovka-plf-19-8348","https://www.somogyi.sk/product/led-celovka-plf-19-8348")</f>
        <v>0.0</v>
      </c>
      <c r="E909" s="7" t="n">
        <f>HYPERLINK("https://www.somogyi.sk/data/img/product_main_images/small/08348.jpg","https://www.somogyi.sk/data/img/product_main_images/small/08348.jpg")</f>
        <v>0.0</v>
      </c>
      <c r="F909" s="2" t="inlineStr">
        <is>
          <t>5998312772560</t>
        </is>
      </c>
      <c r="G909" s="4" t="inlineStr">
        <is>
          <t xml:space="preserve"> • materiál: plast 
 • zdroj svetla: LED 
 • počet zdrojov svetla: 19 ks 
 • farba zdrojov svetla: biela 
 • charakteristiky: nastaviteľný uhol sklonu: 135° 
 • funkcie: svieti 1 LED / 7 LED / 19 LED / bliká 19 LED 
 • napájanie: 3 x AAA (nie je príslušenstvom) 
 • hmotnosť: 0,13 kg</t>
        </is>
      </c>
    </row>
    <row r="910">
      <c r="A910" s="3" t="inlineStr">
        <is>
          <t>HLM 5R</t>
        </is>
      </c>
      <c r="B910" s="2" t="inlineStr">
        <is>
          <t>Nabíjateľná LED čelovka, zoom</t>
        </is>
      </c>
      <c r="C910" s="1" t="n">
        <v>18.89</v>
      </c>
      <c r="D910" s="7" t="n">
        <f>HYPERLINK("https://www.somogyi.sk/product/nabijatelna-led-celovka-zoom-hlm-5r-16170","https://www.somogyi.sk/product/nabijatelna-led-celovka-zoom-hlm-5r-16170")</f>
        <v>0.0</v>
      </c>
      <c r="E910" s="7" t="n">
        <f>HYPERLINK("https://www.somogyi.sk/data/img/product_main_images/small/16170.jpg","https://www.somogyi.sk/data/img/product_main_images/small/16170.jpg")</f>
        <v>0.0</v>
      </c>
      <c r="F910" s="2" t="inlineStr">
        <is>
          <t>5999084942021</t>
        </is>
      </c>
      <c r="G910" s="4" t="inlineStr">
        <is>
          <t xml:space="preserve"> • materiál: kovová 
 • zdroj svetla: LED 
 • počet zdrojov svetla: 1 ks 
 • farba zdrojov svetla: biela 
 • charakteristiky: nastaviteľný sklon / zaostrovateľný / čas nabíjania cca. 4 h / prevádzkový čas cca. 9 h 
 • funkcie: 2 druhy svietivosti / blikanie 
 • napájanie: 2 x 18650 Li-ion akku / 1200 mAh / 3,7 V</t>
        </is>
      </c>
    </row>
    <row r="911">
      <c r="A911" s="3" t="inlineStr">
        <is>
          <t>HLP 4</t>
        </is>
      </c>
      <c r="B911" s="2" t="inlineStr">
        <is>
          <t>Čelovka</t>
        </is>
      </c>
      <c r="C911" s="1" t="n">
        <v>6.99</v>
      </c>
      <c r="D911" s="7" t="n">
        <f>HYPERLINK("https://www.somogyi.sk/product/celovka-hlp-4-15236","https://www.somogyi.sk/product/celovka-hlp-4-15236")</f>
        <v>0.0</v>
      </c>
      <c r="E911" s="7" t="n">
        <f>HYPERLINK("https://www.somogyi.sk/data/img/product_main_images/small/15236.jpg","https://www.somogyi.sk/data/img/product_main_images/small/15236.jpg")</f>
        <v>0.0</v>
      </c>
      <c r="F911" s="2" t="inlineStr">
        <is>
          <t>5999084932701</t>
        </is>
      </c>
      <c r="G911" s="4" t="inlineStr">
        <is>
          <t xml:space="preserve"> • materiál: plast 
 • zdroj svetla: LED 
 • počet zdrojov svetla: 3 W COB LED 
 • farba zdrojov svetla: studená biela 
 • charakteristiky: nastaviteľný uhol sklonu 
 • funkcie: nastaviteľná svietivosť (50 % / 100 %) 
 • napájanie: 3 x AAA  batéria (nie je príslušenstvom) 
 • rozmery: 6 x 6 x 4 cm</t>
        </is>
      </c>
    </row>
    <row r="912">
      <c r="A912" s="3" t="inlineStr">
        <is>
          <t>HLP 7RP</t>
        </is>
      </c>
      <c r="B912" s="2" t="inlineStr">
        <is>
          <t>Nabíjateľná LED čelovka, PIR, 100 lm</t>
        </is>
      </c>
      <c r="C912" s="1" t="n">
        <v>15.99</v>
      </c>
      <c r="D912" s="7" t="n">
        <f>HYPERLINK("https://www.somogyi.sk/product/nabijatelna-led-celovka-pir-100-lm-hlp-7rp-16159","https://www.somogyi.sk/product/nabijatelna-led-celovka-pir-100-lm-hlp-7rp-16159")</f>
        <v>0.0</v>
      </c>
      <c r="E912" s="7" t="n">
        <f>HYPERLINK("https://www.somogyi.sk/data/img/product_main_images/small/16159.jpg","https://www.somogyi.sk/data/img/product_main_images/small/16159.jpg")</f>
        <v>0.0</v>
      </c>
      <c r="F912" s="2" t="inlineStr">
        <is>
          <t>5999084941918</t>
        </is>
      </c>
      <c r="G912" s="4" t="inlineStr">
        <is>
          <t xml:space="preserve"> • materiál: plast 
 • zdroj svetla: LED 
 • počet zdrojov svetla: 3 ks 
 • farba zdrojov svetla: biela, červená 
 • charakteristiky: možnosť zapnúť PIR senzor pohybu / nastaviteľný sklon / 100 lm biele svetlo / nabíjateľný pomocou micro USB kábla / nabíjací čas cca. 2,5 h / prevádzkový čas cca. 4 h 
 • funkcie: biela: 2 stupne svietivosti, blikanie / červená: priebežné svetlo, blikanie 
 • napájanie: 3,7 V / 1200 mAh akumulátor 
 • rozmery: 60 x 45 x 36 mm</t>
        </is>
      </c>
    </row>
    <row r="913">
      <c r="A913" s="3" t="inlineStr">
        <is>
          <t>HLM 4</t>
        </is>
      </c>
      <c r="B913" s="2" t="inlineStr">
        <is>
          <t>LED čelovka, zoom</t>
        </is>
      </c>
      <c r="C913" s="1" t="n">
        <v>16.59</v>
      </c>
      <c r="D913" s="7" t="n">
        <f>HYPERLINK("https://www.somogyi.sk/product/led-celovka-zoom-hlm-4-16169","https://www.somogyi.sk/product/led-celovka-zoom-hlm-4-16169")</f>
        <v>0.0</v>
      </c>
      <c r="E913" s="7" t="n">
        <f>HYPERLINK("https://www.somogyi.sk/data/img/product_main_images/small/16169.jpg","https://www.somogyi.sk/data/img/product_main_images/small/16169.jpg")</f>
        <v>0.0</v>
      </c>
      <c r="F913" s="2" t="inlineStr">
        <is>
          <t>5999084942014</t>
        </is>
      </c>
      <c r="G913" s="4" t="inlineStr">
        <is>
          <t xml:space="preserve"> • materiál: kovová / plastová 
 • zdroj svetla: LED 
 • počet zdrojov svetla: 1 ks 
 • farba zdrojov svetla: biela 
 • charakteristiky: nastaviteľný uhol skonu 
 • funkcie: 2 svietivosti, blikanie 
 • napájanie: 4 x 1,5 V (AA) batéria, nie je príslušenstvom</t>
        </is>
      </c>
    </row>
    <row r="914">
      <c r="A914" s="3" t="inlineStr">
        <is>
          <t>HLP4BK</t>
        </is>
      </c>
      <c r="B914" s="2" t="inlineStr">
        <is>
          <t>Čelovka, čierna</t>
        </is>
      </c>
      <c r="C914" s="1" t="n">
        <v>6.49</v>
      </c>
      <c r="D914" s="7" t="n">
        <f>HYPERLINK("https://www.somogyi.sk/product/celovka-cierna-hlp4bk-18557","https://www.somogyi.sk/product/celovka-cierna-hlp4bk-18557")</f>
        <v>0.0</v>
      </c>
      <c r="E914" s="7" t="n">
        <f>HYPERLINK("https://www.somogyi.sk/data/img/product_main_images/small/18557.jpg","https://www.somogyi.sk/data/img/product_main_images/small/18557.jpg")</f>
        <v>0.0</v>
      </c>
      <c r="F914" s="2" t="inlineStr">
        <is>
          <t>5999084965754</t>
        </is>
      </c>
      <c r="G914" s="4" t="inlineStr">
        <is>
          <t xml:space="preserve"> • zdroj svetla: 3W COB LED 
 • funkcie: nastaviteľná svietivosť (50%, 100%), sklopná hlava lampy 
 • napájanie: 3 x 1,5 V (AAA) batéria (nie je príslušenstvom)</t>
        </is>
      </c>
    </row>
    <row r="915">
      <c r="A915" s="6" t="inlineStr">
        <is>
          <t xml:space="preserve">   Osvetlenie / Svietidlo na bicykel</t>
        </is>
      </c>
      <c r="B915" s="6" t="inlineStr">
        <is>
          <t/>
        </is>
      </c>
      <c r="C915" s="6" t="inlineStr">
        <is>
          <t/>
        </is>
      </c>
      <c r="D915" s="6" t="inlineStr">
        <is>
          <t/>
        </is>
      </c>
      <c r="E915" s="6" t="inlineStr">
        <is>
          <t/>
        </is>
      </c>
      <c r="F915" s="6" t="inlineStr">
        <is>
          <t/>
        </is>
      </c>
      <c r="G915" s="6" t="inlineStr">
        <is>
          <t/>
        </is>
      </c>
    </row>
    <row r="916">
      <c r="A916" s="3" t="inlineStr">
        <is>
          <t>BV 10</t>
        </is>
      </c>
      <c r="B916" s="2" t="inlineStr">
        <is>
          <t>Súprava svietidiel na bicykel,LED</t>
        </is>
      </c>
      <c r="C916" s="1" t="n">
        <v>3.99</v>
      </c>
      <c r="D916" s="7" t="n">
        <f>HYPERLINK("https://www.somogyi.sk/product/suprava-svietidiel-na-bicykel-led-bv-10-11999","https://www.somogyi.sk/product/suprava-svietidiel-na-bicykel-led-bv-10-11999")</f>
        <v>0.0</v>
      </c>
      <c r="E916" s="7" t="n">
        <f>HYPERLINK("https://www.somogyi.sk/data/img/product_main_images/small/11999.jpg","https://www.somogyi.sk/data/img/product_main_images/small/11999.jpg")</f>
        <v>0.0</v>
      </c>
      <c r="F916" s="2" t="inlineStr">
        <is>
          <t>5999084902117</t>
        </is>
      </c>
      <c r="G916" s="4" t="inlineStr">
        <is>
          <t xml:space="preserve"> • materiál: pružný silikón 
 • zdroj svetla: LED 
 • počet zdrojov svetla: 2 + 2 ks 
 • farba zdrojov svetla: biela / červená 
 • funkcie: krátke / rýchle blikanie / stále svetlo 
 • napájanie: v jednej lampe: 2 x CR 2032 (je príslušenstvom) 
 • hmotnosť: 0,08 kg</t>
        </is>
      </c>
    </row>
    <row r="917">
      <c r="A917" s="6" t="inlineStr">
        <is>
          <t xml:space="preserve">   Osvetlenie / Montážne svietidlo</t>
        </is>
      </c>
      <c r="B917" s="6" t="inlineStr">
        <is>
          <t/>
        </is>
      </c>
      <c r="C917" s="6" t="inlineStr">
        <is>
          <t/>
        </is>
      </c>
      <c r="D917" s="6" t="inlineStr">
        <is>
          <t/>
        </is>
      </c>
      <c r="E917" s="6" t="inlineStr">
        <is>
          <t/>
        </is>
      </c>
      <c r="F917" s="6" t="inlineStr">
        <is>
          <t/>
        </is>
      </c>
      <c r="G917" s="6" t="inlineStr">
        <is>
          <t/>
        </is>
      </c>
    </row>
    <row r="918">
      <c r="A918" s="3" t="inlineStr">
        <is>
          <t>PL 20</t>
        </is>
      </c>
      <c r="B918" s="2" t="inlineStr">
        <is>
          <t>Montážne svietidlo IP44</t>
        </is>
      </c>
      <c r="C918" s="1" t="n">
        <v>20.89</v>
      </c>
      <c r="D918" s="7" t="n">
        <f>HYPERLINK("https://www.somogyi.sk/product/montazne-svietidlo-ip44-pl-20-7758","https://www.somogyi.sk/product/montazne-svietidlo-ip44-pl-20-7758")</f>
        <v>0.0</v>
      </c>
      <c r="E918" s="7" t="n">
        <f>HYPERLINK("https://www.somogyi.sk/data/img/product_main_images/small/07758.jpg","https://www.somogyi.sk/data/img/product_main_images/small/07758.jpg")</f>
        <v>0.0</v>
      </c>
      <c r="F918" s="2" t="inlineStr">
        <is>
          <t>5998312767207</t>
        </is>
      </c>
      <c r="G918" s="4" t="inlineStr">
        <is>
          <t xml:space="preserve"> • materiál: guma / sklo / kov 
 • zdroj svetla: - 
 • počet zdrojov svetla: 1 ks zdroj svetla max.: 60 W / E27 (nie je príslušenstvom) 
 • prichytenie: háčik 
 • charakteristiky: porcelánová objímka 
 • energetická trieda: A++, A+, A, B, C, D, E 
 • dĺžka napájacieho kábla: 5 m (guma) 
 • napájanie: 230 V~ / 50 Hz 
 • hmotnosť: Svetelné zdroje LED vo svietidle sa nedajú vymeniť!</t>
        </is>
      </c>
    </row>
    <row r="919">
      <c r="A919" s="3" t="inlineStr">
        <is>
          <t>WL 3W+7L</t>
        </is>
      </c>
      <c r="B919" s="2" t="inlineStr">
        <is>
          <t xml:space="preserve">LED montážne svietidlo, nabíjateľné, magnetické </t>
        </is>
      </c>
      <c r="C919" s="1" t="n">
        <v>31.99</v>
      </c>
      <c r="D919" s="7" t="n">
        <f>HYPERLINK("https://www.somogyi.sk/product/led-montazne-svietidlo-nabijatelne-magneticke-wl-3w-7l-13952","https://www.somogyi.sk/product/led-montazne-svietidlo-nabijatelne-magneticke-wl-3w-7l-13952")</f>
        <v>0.0</v>
      </c>
      <c r="E919" s="7" t="n">
        <f>HYPERLINK("https://www.somogyi.sk/data/img/product_main_images/small/13952.jpg","https://www.somogyi.sk/data/img/product_main_images/small/13952.jpg")</f>
        <v>0.0</v>
      </c>
      <c r="F919" s="2" t="inlineStr">
        <is>
          <t>5999084920043</t>
        </is>
      </c>
      <c r="G919" s="4" t="inlineStr">
        <is>
          <t xml:space="preserve"> • materiál: plast 
 • zdroj svetla: COB LED, LED 
 • počet zdrojov svetla: 1 (3 W) + 7 ks 
 • prichytenie: háčik / magnety 
 • charakteristiky: nastaviteľná hlava svietidla (180°), nabíjateľné: sieťový adaptér / 12 V autonabíjačka 
 • funkcie: 30 % / 100 % COB LED, 7 LED 
 • napájanie: Li-Ion akumulátor 3,6 V / 1600 mAh 
 • príslušenstvo: sieťový adaptér, nabíjačka do autozapaľovača 
 • hmotnosť: Svetelné zdroje LED vo svietidle sa nedajú vymeniť! 
 • ďalšie informácie: Svetelné zdroje LED vo svietidle sa nedajú vymeniť!</t>
        </is>
      </c>
    </row>
    <row r="920">
      <c r="A920" s="6" t="inlineStr">
        <is>
          <t xml:space="preserve">   Osvetlenie / Svietidlo s lupou</t>
        </is>
      </c>
      <c r="B920" s="6" t="inlineStr">
        <is>
          <t/>
        </is>
      </c>
      <c r="C920" s="6" t="inlineStr">
        <is>
          <t/>
        </is>
      </c>
      <c r="D920" s="6" t="inlineStr">
        <is>
          <t/>
        </is>
      </c>
      <c r="E920" s="6" t="inlineStr">
        <is>
          <t/>
        </is>
      </c>
      <c r="F920" s="6" t="inlineStr">
        <is>
          <t/>
        </is>
      </c>
      <c r="G920" s="6" t="inlineStr">
        <is>
          <t/>
        </is>
      </c>
    </row>
    <row r="921">
      <c r="A921" s="3" t="inlineStr">
        <is>
          <t>NKL 022</t>
        </is>
      </c>
      <c r="B921" s="2" t="inlineStr">
        <is>
          <t>Lampa s lupou, montáž na stôl, 12 dioptrií</t>
        </is>
      </c>
      <c r="C921" s="1" t="n">
        <v>37.39</v>
      </c>
      <c r="D921" s="7" t="n">
        <f>HYPERLINK("https://www.somogyi.sk/product/lampa-s-lupou-montaz-na-stol-12-dioptrii-nkl-022-8475","https://www.somogyi.sk/product/lampa-s-lupou-montaz-na-stol-12-dioptrii-nkl-022-8475")</f>
        <v>0.0</v>
      </c>
      <c r="E921" s="7" t="n">
        <f>HYPERLINK("https://www.somogyi.sk/data/img/product_main_images/small/08475.jpg","https://www.somogyi.sk/data/img/product_main_images/small/08475.jpg")</f>
        <v>0.0</v>
      </c>
      <c r="F921" s="2" t="inlineStr">
        <is>
          <t>5998312773741</t>
        </is>
      </c>
      <c r="G921" s="4" t="inlineStr">
        <is>
          <t xml:space="preserve"> • montáž na stôl: nie 
 • možnosť umiestnenia na stôl: áno 
 • zdroj svetla: kruhová žiarivka 
 • počet zdrojov svetla: 1 ks 
 • výkon: 12 W 
 • svietivosť: 450 lm 
 • teplota farby: 6400 K 
 • rozmery šošovky: Ø90 mm 
 • zväčšenie: 3 dioptrie / 12 dioptrií 
 • energetická trieda: B 
 • dĺžka napájacieho kábla: 1,5 m 
 • napájanie: 230 V~ / 50 Hz 
 • hmotnosť: 1,2 kg 
 • ďalšie informácie: náhradná žiarivka: NKL 022F</t>
        </is>
      </c>
    </row>
    <row r="922">
      <c r="A922" s="3" t="inlineStr">
        <is>
          <t>NKL 01</t>
        </is>
      </c>
      <c r="B922" s="2" t="inlineStr">
        <is>
          <t>Lampa s lupou, montáž na stôl, 3 dioptrií</t>
        </is>
      </c>
      <c r="C922" s="1" t="n">
        <v>69.19</v>
      </c>
      <c r="D922" s="7" t="n">
        <f>HYPERLINK("https://www.somogyi.sk/product/lampa-s-lupou-montaz-na-stol-3-dioptrii-nkl-01-5664","https://www.somogyi.sk/product/lampa-s-lupou-montaz-na-stol-3-dioptrii-nkl-01-5664")</f>
        <v>0.0</v>
      </c>
      <c r="E922" s="7" t="n">
        <f>HYPERLINK("https://www.somogyi.sk/data/img/product_main_images/small/05664.jpg","https://www.somogyi.sk/data/img/product_main_images/small/05664.jpg")</f>
        <v>0.0</v>
      </c>
      <c r="F922" s="2" t="inlineStr">
        <is>
          <t>5998312750025</t>
        </is>
      </c>
      <c r="G922" s="4" t="inlineStr">
        <is>
          <t xml:space="preserve"> • montáž na stôl: áno 
 • možnosť umiestnenia na stôl: nie 
 • zdroj svetla: kruhová žiarivka 
 • počet zdrojov svetla: 1 ks 
 • výkon: 22 W 
 • svietivosť: 1250 lm 
 • teplota farby: 6400 K 
 • rozmery šošovky: Ø125 mm 
 • zväčšenie: 3 dioptrie 
 • energetická trieda: B 
 • dĺžka napájacieho kábla: 1,6 m 
 • napájanie: 230 V~ / 50 Hz 
 • rozmery hlavy: 26 x 20 x 3 cm 
 • výška: 42 + 40 cm 
 • náhradná šošovka (opcia): 5 dioptrií (NKL 5D) 
 • príslušenstvo: držiaci zverák 
 • hmotnosť: 4,5 kg 
 • ďalšie informácie: náhradná žiarivka: NKLF T5</t>
        </is>
      </c>
    </row>
    <row r="923">
      <c r="A923" s="3" t="inlineStr">
        <is>
          <t>NKLF</t>
        </is>
      </c>
      <c r="B923" s="2" t="inlineStr">
        <is>
          <t>Náhradná žiarivka k NKL 03</t>
        </is>
      </c>
      <c r="C923" s="1" t="n">
        <v>8.29</v>
      </c>
      <c r="D923" s="7" t="n">
        <f>HYPERLINK("https://www.somogyi.sk/product/nahradna-ziarivka-k-nkl-03-nklf-5665","https://www.somogyi.sk/product/nahradna-ziarivka-k-nkl-03-nklf-5665")</f>
        <v>0.0</v>
      </c>
      <c r="E923" s="7" t="n">
        <f>HYPERLINK("https://www.somogyi.sk/data/img/product_main_images/small/05665.jpg","https://www.somogyi.sk/data/img/product_main_images/small/05665.jpg")</f>
        <v>0.0</v>
      </c>
      <c r="F923" s="2" t="inlineStr">
        <is>
          <t>5998312750032</t>
        </is>
      </c>
      <c r="G923" s="4" t="inlineStr">
        <is>
          <t xml:space="preserve"> • výkon: 22 W 
 • svietivosť: 1050 lm 
 • teplota farby: 6400 K 
 • energetická trieda: B 
 • napájanie: 230 V~ / 50 Hz 
 • rozmery: Ø205 mm / T8</t>
        </is>
      </c>
    </row>
    <row r="924">
      <c r="A924" s="3" t="inlineStr">
        <is>
          <t>NKLL 06</t>
        </is>
      </c>
      <c r="B924" s="2" t="inlineStr">
        <is>
          <t>LED stolné svietidlo s lupou</t>
        </is>
      </c>
      <c r="C924" s="1" t="n">
        <v>49.09</v>
      </c>
      <c r="D924" s="7" t="n">
        <f>HYPERLINK("https://www.somogyi.sk/product/led-stolne-svietidlo-s-lupou-nkll-06-15366","https://www.somogyi.sk/product/led-stolne-svietidlo-s-lupou-nkll-06-15366")</f>
        <v>0.0</v>
      </c>
      <c r="E924" s="7" t="n">
        <f>HYPERLINK("https://www.somogyi.sk/data/img/product_main_images/small/15366.jpg","https://www.somogyi.sk/data/img/product_main_images/small/15366.jpg")</f>
        <v>0.0</v>
      </c>
      <c r="F924" s="2" t="inlineStr">
        <is>
          <t>5999084934002</t>
        </is>
      </c>
      <c r="G924" s="4" t="inlineStr">
        <is>
          <t xml:space="preserve"> • možnosť umiestnenia na stôl: áno 
 • zdroj svetla: LED 
 • počet zdrojov svetla: 30 ks 
 • výkon: 6 W 
 • svietivosť: 400 lm 
 • teplota farby: 6500 K 
 • rozmery šošovky: Ø90 mm 
 • zväčšenie: 3 dioptrie / 12 dioptrií 
 • energetická trieda: A+ 
 • dĺžka napájacieho kábla: 1,45 m 
 • napájanie: 230 V~ / 50 Hz 
 • rozmery: 140 x 350 x 240 mm 
 • hmotnosť: 0,85 kg 
 • ďalšie informácie: Svetelné zdroje LED vo svietidle sa nedajú vymeniť!</t>
        </is>
      </c>
    </row>
    <row r="925">
      <c r="A925" s="3" t="inlineStr">
        <is>
          <t>NKLL 05</t>
        </is>
      </c>
      <c r="B925" s="2" t="inlineStr">
        <is>
          <t>LED lampa s lupou, montáž na stôl, 3 dioptrie</t>
        </is>
      </c>
      <c r="C925" s="1" t="n">
        <v>80.79</v>
      </c>
      <c r="D925" s="7" t="n">
        <f>HYPERLINK("https://www.somogyi.sk/product/led-lampa-s-lupou-montaz-na-stol-3-dioptrie-nkll-05-9787","https://www.somogyi.sk/product/led-lampa-s-lupou-montaz-na-stol-3-dioptrie-nkll-05-9787")</f>
        <v>0.0</v>
      </c>
      <c r="E925" s="7" t="n">
        <f>HYPERLINK("https://www.somogyi.sk/data/img/product_main_images/small/09787.jpg","https://www.somogyi.sk/data/img/product_main_images/small/09787.jpg")</f>
        <v>0.0</v>
      </c>
      <c r="F925" s="2" t="inlineStr">
        <is>
          <t>5998312785157</t>
        </is>
      </c>
      <c r="G925" s="4" t="inlineStr">
        <is>
          <t xml:space="preserve"> • montáž na stôl: áno 
 • možnosť umiestnenia na stôl: nie 
 • zdroj svetla: LED 
 • počet zdrojov svetla: 56 ks 
 • výkon: 9 W 
 • svietivosť: 700 lm 
 • teplota farby: 6000 K 
 • rozmery šošovky: Ø125 mm 
 • zväčšenie: 3 dioptrie 
 • energetická trieda: A+ 
 • dĺžka napájacieho kábla: 1,5 m 
 • napájanie: 230 V~ / 50 Hz 
 • rozmery hlavy: 200 x 40 x 260 mm 
 • výška: 2 x 410 mm 
 • náhradná šošovka (opcia): 5 dioptrií (NKL 5D) 
 • príslušenstvo: držiaci zverák 
 • hmotnosť: 2,5 kg 
 • ďalšie informácie: Zdroje svetla LED vo svietidle sa nedajú vymeniť! Svietidlo nie je vhodné na zvýrazňujúce osvetlenie!</t>
        </is>
      </c>
    </row>
    <row r="926">
      <c r="A926" s="3" t="inlineStr">
        <is>
          <t>NKL 5D</t>
        </is>
      </c>
      <c r="B926" s="2" t="inlineStr">
        <is>
          <t>Náhradná šošovka, 5 dioptrií</t>
        </is>
      </c>
      <c r="C926" s="1" t="n">
        <v>9.79</v>
      </c>
      <c r="D926" s="7" t="n">
        <f>HYPERLINK("https://www.somogyi.sk/product/nahradna-sosovka-5-dioptrii-nkl-5d-5667","https://www.somogyi.sk/product/nahradna-sosovka-5-dioptrii-nkl-5d-5667")</f>
        <v>0.0</v>
      </c>
      <c r="E926" s="7" t="n">
        <f>HYPERLINK("https://www.somogyi.sk/data/img/product_main_images/small/05667.jpg","https://www.somogyi.sk/data/img/product_main_images/small/05667.jpg")</f>
        <v>0.0</v>
      </c>
      <c r="F926" s="2" t="inlineStr">
        <is>
          <t>5998312750056</t>
        </is>
      </c>
      <c r="G926" s="4" t="inlineStr">
        <is>
          <t xml:space="preserve"> • montáž na stôl: nie 
 • možnosť umiestnenia na stôl: nie 
 • rozmery šošovky: Ø125 mm 
 • zväčšenie: 5 dioptrií 
 • hmotnosť: 0,4 kg</t>
        </is>
      </c>
    </row>
    <row r="927">
      <c r="A927" s="3" t="inlineStr">
        <is>
          <t>NKL 022F</t>
        </is>
      </c>
      <c r="B927" s="2" t="inlineStr">
        <is>
          <t>Náhradná žiarivka k NKL 22</t>
        </is>
      </c>
      <c r="C927" s="1" t="n">
        <v>8.29</v>
      </c>
      <c r="D927" s="7" t="n">
        <f>HYPERLINK("https://www.somogyi.sk/product/nahradna-ziarivka-k-nkl-22-nkl-022f-8476","https://www.somogyi.sk/product/nahradna-ziarivka-k-nkl-22-nkl-022f-8476")</f>
        <v>0.0</v>
      </c>
      <c r="E927" s="7" t="n">
        <f>HYPERLINK("https://www.somogyi.sk/data/img/product_main_images/small/08476.jpg","https://www.somogyi.sk/data/img/product_main_images/small/08476.jpg")</f>
        <v>0.0</v>
      </c>
      <c r="F927" s="2" t="inlineStr">
        <is>
          <t>5998312773758</t>
        </is>
      </c>
      <c r="G927" s="4" t="inlineStr">
        <is>
          <t xml:space="preserve"> • výkon: 12 W 
 • svietivosť: 720 lm 
 • teplota farby: 6400 K 
 • energetická trieda: B 
 • napájanie: 230 V~ / 50 Hz 
 • rozmery: Ø122 mm / T4</t>
        </is>
      </c>
    </row>
    <row r="928">
      <c r="A928" s="3" t="inlineStr">
        <is>
          <t>NKLF T5</t>
        </is>
      </c>
      <c r="B928" s="2" t="inlineStr">
        <is>
          <t>Náhradná žiarivka k NKL 01</t>
        </is>
      </c>
      <c r="C928" s="1" t="n">
        <v>8.39</v>
      </c>
      <c r="D928" s="7" t="n">
        <f>HYPERLINK("https://www.somogyi.sk/product/nahradna-ziarivka-k-nkl-01-nklf-t5-8702","https://www.somogyi.sk/product/nahradna-ziarivka-k-nkl-01-nklf-t5-8702")</f>
        <v>0.0</v>
      </c>
      <c r="E928" s="7" t="n">
        <f>HYPERLINK("https://www.somogyi.sk/data/img/product_main_images/small/08702.jpg","https://www.somogyi.sk/data/img/product_main_images/small/08702.jpg")</f>
        <v>0.0</v>
      </c>
      <c r="F928" s="2" t="inlineStr">
        <is>
          <t>5998312775882</t>
        </is>
      </c>
      <c r="G928" s="4" t="inlineStr">
        <is>
          <t xml:space="preserve"> • montáž na stôl: nie 
 • výkon: 22 W 
 • svietivosť: 1250 lm 
 • teplota farby: 6400 K 
 • energetická trieda: B 
 • napájanie: 230 V~ / 50 Hz 
 • rozmery: Ø184 mm / T5</t>
        </is>
      </c>
    </row>
    <row r="929">
      <c r="A929" s="6" t="inlineStr">
        <is>
          <t xml:space="preserve">   Osvetlenie / Reflektor, senzor pohybu</t>
        </is>
      </c>
      <c r="B929" s="6" t="inlineStr">
        <is>
          <t/>
        </is>
      </c>
      <c r="C929" s="6" t="inlineStr">
        <is>
          <t/>
        </is>
      </c>
      <c r="D929" s="6" t="inlineStr">
        <is>
          <t/>
        </is>
      </c>
      <c r="E929" s="6" t="inlineStr">
        <is>
          <t/>
        </is>
      </c>
      <c r="F929" s="6" t="inlineStr">
        <is>
          <t/>
        </is>
      </c>
      <c r="G929" s="6" t="inlineStr">
        <is>
          <t/>
        </is>
      </c>
    </row>
    <row r="930">
      <c r="A930" s="3" t="inlineStr">
        <is>
          <t>PIR 04/WH</t>
        </is>
      </c>
      <c r="B930" s="2" t="inlineStr">
        <is>
          <t>Pohybový senzor nástenný, IP44, biely</t>
        </is>
      </c>
      <c r="C930" s="1" t="n">
        <v>10.09</v>
      </c>
      <c r="D930" s="7" t="n">
        <f>HYPERLINK("https://www.somogyi.sk/product/pohybovy-senzor-nastenny-ip44-biely-pir-04-wh-9700","https://www.somogyi.sk/product/pohybovy-senzor-nastenny-ip44-biely-pir-04-wh-9700")</f>
        <v>0.0</v>
      </c>
      <c r="E930" s="7" t="n">
        <f>HYPERLINK("https://www.somogyi.sk/data/img/product_main_images/small/09700.jpg","https://www.somogyi.sk/data/img/product_main_images/small/09700.jpg")</f>
        <v>0.0</v>
      </c>
      <c r="F930" s="2" t="inlineStr">
        <is>
          <t>5998312784358</t>
        </is>
      </c>
      <c r="G930" s="4" t="inlineStr">
        <is>
          <t xml:space="preserve"> • farba: biela 
 • umiestnenie na stenu: áno 
 • prenosný: nie 
 • zapnuteľný výkon: max. 1200 W 
 • uhol snímania: 180° 
 • nastaviteľný čas svietenia: 10 sek. - 7 min. 
 • nastaviteľný fotosenzor: 3 - 2000 lux 
 • nastaviteľná dosah: fix 12 m 
 • IP stupeň ochrany: IP44 
 • napájanie: 230 V~ / 50 Hz 
 • rozmery reflektora: - 
 • rozmery: 8,5 x 8,5 x 9 cm 
 • príslušenstvo: - 
 • hmotnosť: 0,3 kg</t>
        </is>
      </c>
    </row>
    <row r="931">
      <c r="A931" s="3" t="inlineStr">
        <is>
          <t>0687H</t>
        </is>
      </c>
      <c r="B931" s="2" t="inlineStr">
        <is>
          <t>Pohybový senzor, PIR, IP44</t>
        </is>
      </c>
      <c r="C931" s="1" t="n">
        <v>9.79</v>
      </c>
      <c r="D931" s="7" t="n">
        <f>HYPERLINK("https://www.somogyi.sk/product/pohybovy-senzor-pir-ip44-0687h-9802","https://www.somogyi.sk/product/pohybovy-senzor-pir-ip44-0687h-9802")</f>
        <v>0.0</v>
      </c>
      <c r="E931" s="7" t="n">
        <f>HYPERLINK("https://www.somogyi.sk/data/img/product_main_images/small/09802.jpg","https://www.somogyi.sk/data/img/product_main_images/small/09802.jpg")</f>
        <v>0.0</v>
      </c>
      <c r="F931" s="2" t="inlineStr">
        <is>
          <t>5998312785287</t>
        </is>
      </c>
      <c r="G931" s="4" t="inlineStr">
        <is>
          <t xml:space="preserve"> • farba: čierna 
 • umiestnenie na stenu: áno 
 • prenosný: nie 
 • zapnuteľný výkon: max. 1000 W 
 • uhol snímania: 180° 
 • nastaviteľný čas svietenia: 10 sek. - 4 min. 
 • nastaviteľný fotosenzor: áno 
 • nastaviteľná dosah: fix 12 m 
 • IP stupeň ochrany: IP44 
 • napájanie: 230 V~ / 50 Hz 
 • rozmery reflektora: - 
 • príslušenstvo: -</t>
        </is>
      </c>
    </row>
    <row r="932">
      <c r="A932" s="6" t="inlineStr">
        <is>
          <t xml:space="preserve">   Osvetlenie / Stropné svietidlo, nástenné svietidlo</t>
        </is>
      </c>
      <c r="B932" s="6" t="inlineStr">
        <is>
          <t/>
        </is>
      </c>
      <c r="C932" s="6" t="inlineStr">
        <is>
          <t/>
        </is>
      </c>
      <c r="D932" s="6" t="inlineStr">
        <is>
          <t/>
        </is>
      </c>
      <c r="E932" s="6" t="inlineStr">
        <is>
          <t/>
        </is>
      </c>
      <c r="F932" s="6" t="inlineStr">
        <is>
          <t/>
        </is>
      </c>
      <c r="G932" s="6" t="inlineStr">
        <is>
          <t/>
        </is>
      </c>
    </row>
    <row r="933">
      <c r="A933" s="3" t="inlineStr">
        <is>
          <t>RCC1823</t>
        </is>
      </c>
      <c r="B933" s="2" t="inlineStr">
        <is>
          <t>LED nástenné/stropné svietidlo, 18 W</t>
        </is>
      </c>
      <c r="C933" s="1" t="n">
        <v>16.29</v>
      </c>
      <c r="D933" s="7" t="n">
        <f>HYPERLINK("https://www.somogyi.sk/product/led-nastenne-stropne-svietidlo-18-w-rcc1823-18923","https://www.somogyi.sk/product/led-nastenne-stropne-svietidlo-18-w-rcc1823-18923")</f>
        <v>0.0</v>
      </c>
      <c r="E933" s="7" t="n">
        <f>HYPERLINK("https://www.somogyi.sk/data/img/product_main_images/small/18923.jpg","https://www.somogyi.sk/data/img/product_main_images/small/18923.jpg")</f>
        <v>0.0</v>
      </c>
      <c r="F933" s="2" t="inlineStr">
        <is>
          <t>5999084969172</t>
        </is>
      </c>
      <c r="G933" s="4" t="inlineStr">
        <is>
          <t xml:space="preserve"> • farba: biela 
 • materiál tela svietidla: plast 
 • materiál krytu: plast 
 • zdroj svetla: LED 
 • umiestnenie: na vnútorné použitie 
 • svietivosť: 1850 lm (3 voliteľné svietivosti: 100%, 50%, 10%) 
 •  
 • výkon: 18 W 
 • napájanie: 180-240 V~ 50/60 Hz 
 • rozmery: ∅230 x 25 mm 
 • ďalšie informácie: svetelné zdroje LED vo svietidle sa nedajú vymeniť • svietidlo nie je vhodné na zvýrazňujúce osvetlenie</t>
        </is>
      </c>
    </row>
    <row r="934">
      <c r="A934" s="3" t="inlineStr">
        <is>
          <t>RCC3240</t>
        </is>
      </c>
      <c r="B934" s="2" t="inlineStr">
        <is>
          <t>LED nástenné/stropné svietidlo, 32 W</t>
        </is>
      </c>
      <c r="C934" s="1" t="n">
        <v>29.39</v>
      </c>
      <c r="D934" s="7" t="n">
        <f>HYPERLINK("https://www.somogyi.sk/product/led-nastenne-stropne-svietidlo-32-w-rcc3240-18925","https://www.somogyi.sk/product/led-nastenne-stropne-svietidlo-32-w-rcc3240-18925")</f>
        <v>0.0</v>
      </c>
      <c r="E934" s="7" t="n">
        <f>HYPERLINK("https://www.somogyi.sk/data/img/product_main_images/small/18925.jpg","https://www.somogyi.sk/data/img/product_main_images/small/18925.jpg")</f>
        <v>0.0</v>
      </c>
      <c r="F934" s="2" t="inlineStr">
        <is>
          <t>5999084969196</t>
        </is>
      </c>
      <c r="G934" s="4" t="inlineStr">
        <is>
          <t xml:space="preserve"> • farba: biela 
 • materiál tela svietidla: plast 
 • materiál krytu: plast 
 • zdroj svetla: LED 
 • umiestnenie: na vnútorné použitie 
 • svietivosť: 3400 lm (3 voliteľná svietivosť: 100%, 50%, 10%) 
 •  
 • výkon: 32 W 
 • napájanie: 180-240 V~ 50/60 Hz 
 • rozmery: ∅400 x 25 mm 
 • ďalšie informácie: svetelné zdroje LED vo svietidle sa nedajú vymeniť • svietidlo nie je vhodné na zvýrazňujúce osvetlenie</t>
        </is>
      </c>
    </row>
    <row r="935">
      <c r="A935" s="3" t="inlineStr">
        <is>
          <t>RCC 18 LED/BK</t>
        </is>
      </c>
      <c r="B935" s="2" t="inlineStr">
        <is>
          <t>LED nástenné/stropné svietidlo, čierna, 18 W, 4000K</t>
        </is>
      </c>
      <c r="C935" s="1" t="n">
        <v>6.09</v>
      </c>
      <c r="D935" s="7" t="n">
        <f>HYPERLINK("https://www.somogyi.sk/product/led-nastenne-stropne-svietidlo-cierna-18-w-4000k-rcc-18-led-bk-18204","https://www.somogyi.sk/product/led-nastenne-stropne-svietidlo-cierna-18-w-4000k-rcc-18-led-bk-18204")</f>
        <v>0.0</v>
      </c>
      <c r="E935" s="7" t="n">
        <f>HYPERLINK("https://www.somogyi.sk/data/img/product_main_images/small/18204.jpg","https://www.somogyi.sk/data/img/product_main_images/small/18204.jpg")</f>
        <v>0.0</v>
      </c>
      <c r="F935" s="2" t="inlineStr">
        <is>
          <t>5999084962265</t>
        </is>
      </c>
      <c r="G935" s="4" t="inlineStr">
        <is>
          <t xml:space="preserve"> • farba: čierna farba 
 • materiál krytu: plast 
 • zdroj svetla: LED 
 • svietivosť: 2000 lm 
 • teplota farby: 4000 K 
 • výkon: 18 W 
 • IP stupeň ochrany: IP65 
 • napájanie: 220-240 V~ / 50-60 Hz 
 • rozmery: 165,8 x 160 x 58 mm 
 • ďalšie informácie: LED svetelné zdroje vo svietidle sa nedajú vymeniť</t>
        </is>
      </c>
    </row>
    <row r="936">
      <c r="A936" s="3" t="inlineStr">
        <is>
          <t>RCC1823B</t>
        </is>
      </c>
      <c r="B936" s="2" t="inlineStr">
        <is>
          <t>LED nástenné/stropné svietidlo, 18 W</t>
        </is>
      </c>
      <c r="C936" s="1" t="n">
        <v>16.29</v>
      </c>
      <c r="D936" s="7" t="n">
        <f>HYPERLINK("https://www.somogyi.sk/product/led-nastenne-stropne-svietidlo-18-w-rcc1823b-18924","https://www.somogyi.sk/product/led-nastenne-stropne-svietidlo-18-w-rcc1823b-18924")</f>
        <v>0.0</v>
      </c>
      <c r="E936" s="7" t="n">
        <f>HYPERLINK("https://www.somogyi.sk/data/img/product_main_images/small/18924.jpg","https://www.somogyi.sk/data/img/product_main_images/small/18924.jpg")</f>
        <v>0.0</v>
      </c>
      <c r="F936" s="2" t="inlineStr">
        <is>
          <t>5999084969189</t>
        </is>
      </c>
      <c r="G936" s="4" t="inlineStr">
        <is>
          <t xml:space="preserve"> • farba: čierna 
 • materiál tela svietidla: plast 
 • materiál krytu: plast 
 • zdroj svetla: LED 
 • umiestnenie: na vnútorné použitie 
 • svietivosť: 1850 lm (3 voliteľné svietivosti: 100%, 50%, 10%) 
 •  
 • výkon: 18 W 
 • napájanie: 180-240 V~ 50/60 Hz 
 • rozmery: ∅230 x 25 mm 
 • ďalšie informácie: svetelné zdroje LED vo svietidle sa nedajú vymeniť • svietidlo nie je vhodné na zvýrazňujúce osvetlenie</t>
        </is>
      </c>
    </row>
    <row r="937">
      <c r="A937" s="3" t="inlineStr">
        <is>
          <t>LMF 36/4500H</t>
        </is>
      </c>
      <c r="B937" s="2" t="inlineStr">
        <is>
          <t>LED svietidlo do kazetového stropu</t>
        </is>
      </c>
      <c r="C937" s="1" t="n">
        <v>36.89</v>
      </c>
      <c r="D937" s="7" t="n">
        <f>HYPERLINK("https://www.somogyi.sk/product/led-svietidlo-do-kazetoveho-stropu-lmf-36-4500h-17769","https://www.somogyi.sk/product/led-svietidlo-do-kazetoveho-stropu-lmf-36-4500h-17769")</f>
        <v>0.0</v>
      </c>
      <c r="E937" s="7" t="n">
        <f>HYPERLINK("https://www.somogyi.sk/data/img/product_main_images/small/17769.jpg","https://www.somogyi.sk/data/img/product_main_images/small/17769.jpg")</f>
        <v>0.0</v>
      </c>
      <c r="F937" s="2" t="inlineStr">
        <is>
          <t>5999084957919</t>
        </is>
      </c>
      <c r="G937" s="4" t="inlineStr">
        <is>
          <t xml:space="preserve"> • materiál tela svietidla: hliník 
 • zdroj svetla: LED 
 • svietivosť: 4500 lm 
 • výkon: 36 W 
 • energetická trieda: E 
 • príslušenstvo: LED driver je príslušenstvom</t>
        </is>
      </c>
    </row>
    <row r="938">
      <c r="A938" s="3" t="inlineStr">
        <is>
          <t>RCC 210/WH</t>
        </is>
      </c>
      <c r="B938" s="2" t="inlineStr">
        <is>
          <t>Stropné svietidlo UFO, E14, max.13 W</t>
        </is>
      </c>
      <c r="C938" s="1" t="n">
        <v>4.29</v>
      </c>
      <c r="D938" s="7" t="n">
        <f>HYPERLINK("https://www.somogyi.sk/product/stropne-svietidlo-ufo-e14-max-13-w-rcc-210-wh-17303","https://www.somogyi.sk/product/stropne-svietidlo-ufo-e14-max-13-w-rcc-210-wh-17303")</f>
        <v>0.0</v>
      </c>
      <c r="E938" s="7" t="n">
        <f>HYPERLINK("https://www.somogyi.sk/data/img/product_main_images/small/17303.jpg","https://www.somogyi.sk/data/img/product_main_images/small/17303.jpg")</f>
        <v>0.0</v>
      </c>
      <c r="F938" s="2" t="inlineStr">
        <is>
          <t>5999084953256</t>
        </is>
      </c>
      <c r="G938" s="4" t="inlineStr">
        <is>
          <t xml:space="preserve"> • farba: biela 
 • počet zdrojov svetla: 1 ks 
 • maximálna zaťažiteľnosť: max.13W 
 • objímka: E14/max. 13 W 
 • napájanie: 230 V~ / 50 Hz 
 • rozmery: ∅21 cm x 7,5 cm 
 • ks / balenie: 1 
 • ďalšie informácie: zdroj svetla nie je príslušenstvom</t>
        </is>
      </c>
    </row>
    <row r="939">
      <c r="A939" s="3" t="inlineStr">
        <is>
          <t>RCC2430</t>
        </is>
      </c>
      <c r="B939" s="2" t="inlineStr">
        <is>
          <t>LED nástenné/stropné svietidlo, 24 W</t>
        </is>
      </c>
      <c r="C939" s="1" t="n">
        <v>20.89</v>
      </c>
      <c r="D939" s="7" t="n">
        <f>HYPERLINK("https://www.somogyi.sk/product/led-nastenne-stropne-svietidlo-24-w-rcc2430-18926","https://www.somogyi.sk/product/led-nastenne-stropne-svietidlo-24-w-rcc2430-18926")</f>
        <v>0.0</v>
      </c>
      <c r="E939" s="7" t="n">
        <f>HYPERLINK("https://www.somogyi.sk/data/img/product_main_images/small/18926.jpg","https://www.somogyi.sk/data/img/product_main_images/small/18926.jpg")</f>
        <v>0.0</v>
      </c>
      <c r="F939" s="2" t="inlineStr">
        <is>
          <t>5999084969202</t>
        </is>
      </c>
      <c r="G939" s="4" t="inlineStr">
        <is>
          <t xml:space="preserve"> • farba: biela 
 • materiál tela svietidla: plast 
 • materiál krytu: plast 
 • zdroj svetla: LED 
 • umiestnenie: na vnútorné použitie 
 • svietivosť: 2500 lm (3 voliteľné svietivosti: 100%, 50%, 10%) 
 •  
 • výkon: 24 W 
 • napájanie: 180-240 V~ 50/60 Hz 
 • rozmery: ∅300 x 25 mm 
 • ďalšie informácie: svetelné zdroje LED vo svietidle sa nedajú vymeniť • svietidlo nie je vhodné na zvýrazňujúce osvetlenie</t>
        </is>
      </c>
    </row>
    <row r="940">
      <c r="A940" s="6" t="inlineStr">
        <is>
          <t xml:space="preserve">   Osvetlenie / LED reflektor</t>
        </is>
      </c>
      <c r="B940" s="6" t="inlineStr">
        <is>
          <t/>
        </is>
      </c>
      <c r="C940" s="6" t="inlineStr">
        <is>
          <t/>
        </is>
      </c>
      <c r="D940" s="6" t="inlineStr">
        <is>
          <t/>
        </is>
      </c>
      <c r="E940" s="6" t="inlineStr">
        <is>
          <t/>
        </is>
      </c>
      <c r="F940" s="6" t="inlineStr">
        <is>
          <t/>
        </is>
      </c>
      <c r="G940" s="6" t="inlineStr">
        <is>
          <t/>
        </is>
      </c>
    </row>
    <row r="941">
      <c r="A941" s="3" t="inlineStr">
        <is>
          <t>FLP1800SOLAR</t>
        </is>
      </c>
      <c r="B941" s="2" t="inlineStr">
        <is>
          <t>Solárny LED reflektor so senzorom pohybu</t>
        </is>
      </c>
      <c r="C941" s="1" t="n">
        <v>53.49</v>
      </c>
      <c r="D941" s="7" t="n">
        <f>HYPERLINK("https://www.somogyi.sk/product/solarny-led-reflektor-so-senzorom-pohybu-flp1800solar-18935","https://www.somogyi.sk/product/solarny-led-reflektor-so-senzorom-pohybu-flp1800solar-18935")</f>
        <v>0.0</v>
      </c>
      <c r="E941" s="7" t="n">
        <f>HYPERLINK("https://www.somogyi.sk/data/img/product_main_images/small/18935.jpg","https://www.somogyi.sk/data/img/product_main_images/small/18935.jpg")</f>
        <v>0.0</v>
      </c>
      <c r="F941" s="2" t="inlineStr">
        <is>
          <t>5999084969295</t>
        </is>
      </c>
      <c r="G941" s="4" t="inlineStr">
        <is>
          <t xml:space="preserve"> • farba: čierna 
 • materiál: kov / plast 
 • umiestnenie na stenu: áno 
 • prenosný: áno 
 • počet zdrojov svetla: 112 ks 
 • svietivosť: 1800 lm 
 • teplota farby: 6000 K 
 •  
 • funkcia: nastaviteľná svietivosť • časovač 
 • vlastnosť: 2 režimy snímača: 100% svietivosť pri detekcii pohybu, potom sa vypne po približne 30 sekundách / 100% svietivosť pri detekcii pohybu, potom nepretržitá nízka svietivosť po približne 30 sekundách 
 • napájanie: zabudovaný akumulátor (3,2 V 15 AH LiFePO4) • diaľkový ovládač 1 x 3 V CR2025 gombíková batéria (je príslušenstvom) 
 • kapacita akumulátora: 3,2 V / 15 AH 
 • ďalšie informácie: pripojovací kábel: 3 m</t>
        </is>
      </c>
    </row>
    <row r="942">
      <c r="A942" s="3" t="inlineStr">
        <is>
          <t>FLP3SOLAR</t>
        </is>
      </c>
      <c r="B942" s="2" t="inlineStr">
        <is>
          <t>Solárny LED reflektor so senzorom pohybu</t>
        </is>
      </c>
      <c r="C942" s="1" t="n">
        <v>21.69</v>
      </c>
      <c r="D942" s="7" t="n">
        <f>HYPERLINK("https://www.somogyi.sk/product/solarny-led-reflektor-so-senzorom-pohybu-flp3solar-18928","https://www.somogyi.sk/product/solarny-led-reflektor-so-senzorom-pohybu-flp3solar-18928")</f>
        <v>0.0</v>
      </c>
      <c r="E942" s="7" t="n">
        <f>HYPERLINK("https://www.somogyi.sk/data/img/product_main_images/small/18928.jpg","https://www.somogyi.sk/data/img/product_main_images/small/18928.jpg")</f>
        <v>0.0</v>
      </c>
      <c r="F942" s="2" t="inlineStr">
        <is>
          <t>5999084969226</t>
        </is>
      </c>
      <c r="G942" s="4" t="inlineStr">
        <is>
          <t xml:space="preserve"> • 161 studených bielych LED SMD 
 • 700 lm / 6500 K 
 • detekčný uhol senzora pohybu PIR 120°, vzdialenosť 6 m 
 • 3 režimy osvetlenia: 
 • 100% svietivosť pri detekcii pohybu, potom sa vypne pribl. po 30 sekundách 
 • 100 % svietivosť pri detekcii pohybu, potom pribl. po 30 sekundách nepretržitá nízka svietivosť  
 • nepretržitá nízka svietivosť bez detekcie pohybu 
 • nastaviteľný uhol sklonu 
 • otáčateľné a sklopiteľné  
 • IP65: odolné voči tryskajúcej vode (zo všetkých smerov) 
 • napájanie: 1 x 3,7 V 18650 Li-ion akumulátor 3600 mAh 
 • upevňovacie prvky sú príslušenstvom</t>
        </is>
      </c>
    </row>
    <row r="943">
      <c r="A943" s="3" t="inlineStr">
        <is>
          <t>FLP 1000 SOLAR</t>
        </is>
      </c>
      <c r="B943" s="2" t="inlineStr">
        <is>
          <t>LED reflektor so solárnym panelom a PIR pohybovým senzorom</t>
        </is>
      </c>
      <c r="C943" s="1" t="n">
        <v>56.99</v>
      </c>
      <c r="D943" s="7" t="n">
        <f>HYPERLINK("https://www.somogyi.sk/product/led-reflektor-so-solarnym-panelom-a-pir-pohybovym-senzorom-flp-1000-solar-16709","https://www.somogyi.sk/product/led-reflektor-so-solarnym-panelom-a-pir-pohybovym-senzorom-flp-1000-solar-16709")</f>
        <v>0.0</v>
      </c>
      <c r="E943" s="7" t="n">
        <f>HYPERLINK("https://www.somogyi.sk/data/img/product_main_images/small/16709.jpg","https://www.somogyi.sk/data/img/product_main_images/small/16709.jpg")</f>
        <v>0.0</v>
      </c>
      <c r="F943" s="2" t="inlineStr">
        <is>
          <t>5999084947415</t>
        </is>
      </c>
      <c r="G943" s="4" t="inlineStr">
        <is>
          <t xml:space="preserve"> • farba: čierna farba 
 • výkon: 10 W 
 • umiestnenie na stenu: áno 
 • prenosný: áno 
 • zdroj svetla: SMD 2835 LED 
 • počet zdrojov svetla: 60 ks SMD 2835 LED 
 • svietivosť: 1000 lm 
 • teplota farby: 6000 K 
 • PIR senzor pohybu: PIR senzor pohybu max. 8 m 
 • IP stupeň ochrany: IP65 
 • napájanie: Li-ion akumulátor, 18650 
 • kapacita akumulátora: 7200 mAh 
 • rozmery: 30 x 25 x 3,5 cm</t>
        </is>
      </c>
    </row>
    <row r="944">
      <c r="A944" s="3" t="inlineStr">
        <is>
          <t>FLB 10C</t>
        </is>
      </c>
      <c r="B944" s="2" t="inlineStr">
        <is>
          <t>Nabíjateľný COB LED reflektor</t>
        </is>
      </c>
      <c r="C944" s="1" t="n">
        <v>34.59</v>
      </c>
      <c r="D944" s="7" t="n">
        <f>HYPERLINK("https://www.somogyi.sk/product/nabijatelny-cob-led-reflektor-flb-10c-17283","https://www.somogyi.sk/product/nabijatelny-cob-led-reflektor-flb-10c-17283")</f>
        <v>0.0</v>
      </c>
      <c r="E944" s="7" t="n">
        <f>HYPERLINK("https://www.somogyi.sk/data/img/product_main_images/small/17283.jpg","https://www.somogyi.sk/data/img/product_main_images/small/17283.jpg")</f>
        <v>0.0</v>
      </c>
      <c r="F944" s="2" t="inlineStr">
        <is>
          <t>5999084953058</t>
        </is>
      </c>
      <c r="G944" s="4" t="inlineStr">
        <is>
          <t xml:space="preserve"> • farba: čierna / modrá 
 • výkon: max. 10 W 
 • prenosný: áno 
 • zdroj svetla: COB LED 
 • počet zdrojov svetla: 2 ks 
 • svietivosť: max. 1000 lm 
 • teplota farby: 5000 K 
 • IP stupeň ochrany: IP44 
 • napájanie: zabudovaný akumulátor 
 • kapacita akumulátora: 5000 mAh 
 • prevádzkový čas: max. 4 h (500 lumen); max. 2 h (1000 lumen) 
 • rozmery: rozmery: 25 x 20,5 x 5 cm / 15 x 20,5 x 18 cm 
 • hmotnosť: 570 g</t>
        </is>
      </c>
    </row>
    <row r="945">
      <c r="A945" s="3" t="inlineStr">
        <is>
          <t>FLL STAND 2/30</t>
        </is>
      </c>
      <c r="B945" s="2" t="inlineStr">
        <is>
          <t>LED reflektor, so stojanom, 2x30W, 4000 lm, IP65</t>
        </is>
      </c>
      <c r="C945" s="1" t="n">
        <v>54.69</v>
      </c>
      <c r="D945" s="7" t="n">
        <f>HYPERLINK("https://www.somogyi.sk/product/led-reflektor-so-stojanom-2x30w-4000-lm-ip65-fll-stand-2-30-17887","https://www.somogyi.sk/product/led-reflektor-so-stojanom-2x30w-4000-lm-ip65-fll-stand-2-30-17887")</f>
        <v>0.0</v>
      </c>
      <c r="E945" s="7" t="n">
        <f>HYPERLINK("https://www.somogyi.sk/data/img/product_main_images/small/17887.jpg","https://www.somogyi.sk/data/img/product_main_images/small/17887.jpg")</f>
        <v>0.0</v>
      </c>
      <c r="F945" s="2" t="inlineStr">
        <is>
          <t>5999084959098</t>
        </is>
      </c>
      <c r="G945" s="4" t="inlineStr">
        <is>
          <t xml:space="preserve"> • farba: žltá / čierna 
 • výkon: 2 x 30 W 
 • prenosný: áno 
 • zdroj svetla: LED (SMD) 
 • počet zdrojov svetla: 2 
 • svietivosť: 2 x 2400 lm 
 • teplota farby: 4000 K 
 • IP stupeň ochrany: IP65 
 • dĺžka napájacieho kábla: 2,1 m 
 • napájanie: 220-240 V~ /  50-60 Hz 
 • rozmery: 0,7 x 0,8 x (0,8-1,7) m 
 • hmotnosť: 3 kg 
 • ďalšie informácie: svetelný zdroj LED vo svietidle sa nedá vymeniť • svietidlo nie je vhodné na zvýrazňujúce osvetlenie</t>
        </is>
      </c>
    </row>
    <row r="946">
      <c r="A946" s="3" t="inlineStr">
        <is>
          <t>FLP22SOLAR</t>
        </is>
      </c>
      <c r="B946" s="2" t="inlineStr">
        <is>
          <t>Solárny LED reflektor so senzorom pohybu</t>
        </is>
      </c>
      <c r="C946" s="1" t="n">
        <v>7.99</v>
      </c>
      <c r="D946" s="7" t="n">
        <f>HYPERLINK("https://www.somogyi.sk/product/solarny-led-reflektor-so-senzorom-pohybu-flp22solar-18934","https://www.somogyi.sk/product/solarny-led-reflektor-so-senzorom-pohybu-flp22solar-18934")</f>
        <v>0.0</v>
      </c>
      <c r="E946" s="7" t="n">
        <f>HYPERLINK("https://www.somogyi.sk/data/img/product_main_images/small/18934.jpg","https://www.somogyi.sk/data/img/product_main_images/small/18934.jpg")</f>
        <v>0.0</v>
      </c>
      <c r="F946" s="2" t="inlineStr">
        <is>
          <t>5999084969288</t>
        </is>
      </c>
      <c r="G946" s="4" t="inlineStr">
        <is>
          <t xml:space="preserve"> • 68 SMD LED  
 • 250 lm / 6500 K 
 • detekčný uhol senzora pohybu PIR 120°, vzdialenosť 6 m	 
 • cez deň sa nabíja, v noci svieti 
 • 3 režimy osvetlenia: 
 • 100% svietivosť pri detekcii pohybu, potom sa vypne pribl. po 30 sekundách 
 • 100 % svietivosť pri detekcii pohybu, potom pribl. po 30 sekundách nepretržitá nízka svietivosť  
 • nepretržitá nízka svietivosť bez detekcie pohybu 
 • materiál: ABS + PC 
 • IP65: odolné voči tryskajúcej vode (zo všetkých smerov) 
 • napájanie: 1x 3,7 V 18650 Li-ion 1200</t>
        </is>
      </c>
    </row>
    <row r="947">
      <c r="A947" s="3" t="inlineStr">
        <is>
          <t>FLL PIR 50</t>
        </is>
      </c>
      <c r="B947" s="2" t="inlineStr">
        <is>
          <t>LED reflektor, s pohybovým senzorom 50W, 4000 lm, IP65</t>
        </is>
      </c>
      <c r="C947" s="1" t="n">
        <v>20.79</v>
      </c>
      <c r="D947" s="7" t="n">
        <f>HYPERLINK("https://www.somogyi.sk/product/led-reflektor-s-pohybovym-senzorom-50w-4000-lm-ip65-fll-pir-50-17886","https://www.somogyi.sk/product/led-reflektor-s-pohybovym-senzorom-50w-4000-lm-ip65-fll-pir-50-17886")</f>
        <v>0.0</v>
      </c>
      <c r="E947" s="7" t="n">
        <f>HYPERLINK("https://www.somogyi.sk/data/img/product_main_images/small/17886.jpg","https://www.somogyi.sk/data/img/product_main_images/small/17886.jpg")</f>
        <v>0.0</v>
      </c>
      <c r="F947" s="2" t="inlineStr">
        <is>
          <t>5999084959081</t>
        </is>
      </c>
      <c r="G947" s="4" t="inlineStr">
        <is>
          <t xml:space="preserve"> • farba: čierna 
 • výkon: 50 W 
 • umiestnenie na stenu: áno 
 • zdroj svetla: SMD LED 
 • svietivosť: 4000 lm 
 • teplota farby: 4000 K 
 • IP stupeň ochrany: IP65 
 • napájanie: 220-240 V~, 50/60 Hz 
 • rozmery: 188 x 225 x 115 mm 
 • hmotnosť: 580 g</t>
        </is>
      </c>
    </row>
    <row r="948">
      <c r="A948" s="3" t="inlineStr">
        <is>
          <t>FLL PIR 30</t>
        </is>
      </c>
      <c r="B948" s="2" t="inlineStr">
        <is>
          <t>LED reflektor, s pohybovým senzorom 30W, 2400 lm, IP65</t>
        </is>
      </c>
      <c r="C948" s="1" t="n">
        <v>16.29</v>
      </c>
      <c r="D948" s="7" t="n">
        <f>HYPERLINK("https://www.somogyi.sk/product/led-reflektor-s-pohybovym-senzorom-30w-2400-lm-ip65-fll-pir-30-17885","https://www.somogyi.sk/product/led-reflektor-s-pohybovym-senzorom-30w-2400-lm-ip65-fll-pir-30-17885")</f>
        <v>0.0</v>
      </c>
      <c r="E948" s="7" t="n">
        <f>HYPERLINK("https://www.somogyi.sk/data/img/product_main_images/small/17885.jpg","https://www.somogyi.sk/data/img/product_main_images/small/17885.jpg")</f>
        <v>0.0</v>
      </c>
      <c r="F948" s="2" t="inlineStr">
        <is>
          <t>5999084959074</t>
        </is>
      </c>
      <c r="G948" s="4" t="inlineStr">
        <is>
          <t xml:space="preserve"> • farba: čierna 
 • výkon: 30 W 
 • umiestnenie na stenu: áno 
 • zdroj svetla: SMD LED 
 • svietivosť: 2400 lm 
 • teplota farby: 4000 K 
 • IP stupeň ochrany: IP65 
 • napájanie: 220-240 V~, 50/60 Hz 
 • prevádzkový čas: 10±5 sekúnd - 8±2 minúty, nastaviteľné 
 • rozmery: 145 x 210 x 115 mm 
 • hmotnosť: 390 g</t>
        </is>
      </c>
    </row>
    <row r="949">
      <c r="A949" s="3" t="inlineStr">
        <is>
          <t>JSL 3300</t>
        </is>
      </c>
      <c r="B949" s="2" t="inlineStr">
        <is>
          <t>Pracovné svietidlo</t>
        </is>
      </c>
      <c r="C949" s="1" t="n">
        <v>72.59</v>
      </c>
      <c r="D949" s="7" t="n">
        <f>HYPERLINK("https://www.somogyi.sk/product/pracovne-svietidlo-jsl-3300-17770","https://www.somogyi.sk/product/pracovne-svietidlo-jsl-3300-17770")</f>
        <v>0.0</v>
      </c>
      <c r="E949" s="7" t="n">
        <f>HYPERLINK("https://www.somogyi.sk/data/img/product_main_images/small/17770.jpg","https://www.somogyi.sk/data/img/product_main_images/small/17770.jpg")</f>
        <v>0.0</v>
      </c>
      <c r="F949" s="2" t="inlineStr">
        <is>
          <t>5999084957926</t>
        </is>
      </c>
      <c r="G949" s="4" t="inlineStr">
        <is>
          <t xml:space="preserve"> • farba: žltá / čierna 
 • výkon: max. 30 W 
 • prenosný: áno 
 • zdroj svetla: COB LED 
 • počet zdrojov svetla: 2 x 15 W COB LED 
 • svietivosť: max. 3300 lumen, min. 500 lumen 
 • teplota farby: 5000 K 
 • IP stupeň ochrany: IP44 
 • dĺžka napájacieho kábla: dĺžka nabíjacieho kábla: 100 cm 
 • napájanie: zabudovaný Li-ion 18650 mAh akumulátor, 7,4 V , 4400 mAh 
 • rozmery: rozmery: 10 x 12,5 x 47,1 cm / 10 x 12,5 x 68,5 cm 
 • hmotnosť: 1,1 kg</t>
        </is>
      </c>
    </row>
    <row r="950">
      <c r="A950" s="3" t="inlineStr">
        <is>
          <t>FLP600SOLAR</t>
        </is>
      </c>
      <c r="B950" s="2" t="inlineStr">
        <is>
          <t>Solárny LED reflektor so senzorom pohybu</t>
        </is>
      </c>
      <c r="C950" s="1" t="n">
        <v>31.59</v>
      </c>
      <c r="D950" s="7" t="n">
        <f>HYPERLINK("https://www.somogyi.sk/product/solarny-led-reflektor-so-senzorom-pohybu-flp600solar-18936","https://www.somogyi.sk/product/solarny-led-reflektor-so-senzorom-pohybu-flp600solar-18936")</f>
        <v>0.0</v>
      </c>
      <c r="E950" s="7" t="n">
        <f>HYPERLINK("https://www.somogyi.sk/data/img/product_main_images/small/18936.jpg","https://www.somogyi.sk/data/img/product_main_images/small/18936.jpg")</f>
        <v>0.0</v>
      </c>
      <c r="F950" s="2" t="inlineStr">
        <is>
          <t>5999084969301</t>
        </is>
      </c>
      <c r="G950" s="4" t="inlineStr">
        <is>
          <t xml:space="preserve"> • farba: čierna 
 • materiál: FLP600SOLAR 
 • umiestnenie na stenu: áno 
 • prenosný: áno 
 • počet zdrojov svetla: 40 ks 
 • svietivosť: 600 lm 
 • teplota farby: 6000 K 
 •  
 • funkcia: nastaviteľná svietivosť • časovač 
 • vlastnosť: 2 režimy snímača: 100% svietivosť pri detekcii pohybu, potom sa vypne po približne 30 sekundách / 100% svietivosť pri detekcii pohybu, potom nepretržitá nízka svietivosť po približne 30 sekundách 
 • napájanie: zabudovaný akumulátor (3,2 V 5 AH 16 W LiFePO4) • diaľkový ovládač: 1 x 3 V CR2025 gombíková batéria (je príslušenstvom) 
 • kapacita akumulátora: 3,2 V / 5 AH 
 • ďalšie informácie: pripojovací kábel: 3 m</t>
        </is>
      </c>
    </row>
    <row r="951">
      <c r="A951" s="3" t="inlineStr">
        <is>
          <t>FLL 50</t>
        </is>
      </c>
      <c r="B951" s="2" t="inlineStr">
        <is>
          <t>LED reflektor, 50W, 4000 lm, IP65</t>
        </is>
      </c>
      <c r="C951" s="1" t="n">
        <v>13.29</v>
      </c>
      <c r="D951" s="7" t="n">
        <f>HYPERLINK("https://www.somogyi.sk/product/led-reflektor-50w-4000-lm-ip65-fll-50-17882","https://www.somogyi.sk/product/led-reflektor-50w-4000-lm-ip65-fll-50-17882")</f>
        <v>0.0</v>
      </c>
      <c r="E951" s="7" t="n">
        <f>HYPERLINK("https://www.somogyi.sk/data/img/product_main_images/small/17882.jpg","https://www.somogyi.sk/data/img/product_main_images/small/17882.jpg")</f>
        <v>0.0</v>
      </c>
      <c r="F951" s="2" t="inlineStr">
        <is>
          <t>5999084959043</t>
        </is>
      </c>
      <c r="G951" s="4" t="inlineStr">
        <is>
          <t xml:space="preserve"> • farba: čierna 
 • výkon: 50 W 
 • umiestnenie na stenu: áno 
 • zdroj svetla: SMD LED 
 • svietivosť: 4000 lm 
 • teplota farby: 4000 K 
 • IP stupeň ochrany: IP65 
 • napájanie: 220-240 V~ /  50-60 Hz 
 • rozmery: 188 x 160 x 115 mm 
 • hmotnosť: 530 g</t>
        </is>
      </c>
    </row>
    <row r="952">
      <c r="A952" s="3" t="inlineStr">
        <is>
          <t>FLP 5 SOLAR</t>
        </is>
      </c>
      <c r="B952" s="2" t="inlineStr">
        <is>
          <t>LED reflektor so solárnym panelom a senzorom pohybu</t>
        </is>
      </c>
      <c r="C952" s="1" t="n">
        <v>38.69</v>
      </c>
      <c r="D952" s="7" t="n">
        <f>HYPERLINK("https://www.somogyi.sk/product/led-reflektor-so-solarnym-panelom-a-senzorom-pohybu-flp-5-solar-16204","https://www.somogyi.sk/product/led-reflektor-so-solarnym-panelom-a-senzorom-pohybu-flp-5-solar-16204")</f>
        <v>0.0</v>
      </c>
      <c r="E952" s="7" t="n">
        <f>HYPERLINK("https://www.somogyi.sk/data/img/product_main_images/small/16204.jpg","https://www.somogyi.sk/data/img/product_main_images/small/16204.jpg")</f>
        <v>0.0</v>
      </c>
      <c r="F952" s="2" t="inlineStr">
        <is>
          <t>5999084942366</t>
        </is>
      </c>
      <c r="G952" s="4" t="inlineStr">
        <is>
          <t xml:space="preserve"> • výkon: 5,5 W 
 • umiestnenie na stenu: áno 
 • zdroj svetla: LED (2835 SMD) 
 • počet zdrojov svetla: 72 ks 
 • svietivosť: 500 lm 
 • teplota farby: 4500 K 
 • PIR senzor pohybu: uhol snímania: 120°, max: 8 m 
 • IP stupeň ochrany: IP44 
 • dĺžka napájacieho kábla: 4,8 m 
 • napájanie: 3,7 V (18650, Li-ion) 
 • kapacita akumulátora: 1500 mAh 
 • prevádzkový čas: nastaviteľný: 10 sek - 2 min 
 • rozmery: solárna batéria: 190 x 200 x 50 mm, reflektor: 200 x 190 x 120 mm 
 • ďalšie informácie: LED zdroj svetla vo svietidle sa nedá vymeniť.</t>
        </is>
      </c>
    </row>
    <row r="953">
      <c r="A953" s="3" t="inlineStr">
        <is>
          <t>FLP2000SOLAR</t>
        </is>
      </c>
      <c r="B953" s="2" t="inlineStr">
        <is>
          <t>Solárny LED reflektor, s pohybovým senzorom</t>
        </is>
      </c>
      <c r="C953" s="1" t="n">
        <v>61.89</v>
      </c>
      <c r="D953" s="7" t="n">
        <f>HYPERLINK("https://www.somogyi.sk/product/solarny-led-reflektor-s-pohybovym-senzorom-flp2000solar-19026","https://www.somogyi.sk/product/solarny-led-reflektor-s-pohybovym-senzorom-flp2000solar-19026")</f>
        <v>0.0</v>
      </c>
      <c r="E953" s="7" t="n">
        <f>HYPERLINK("https://www.somogyi.sk/data/img/product_main_images/small/19026.jpg","https://www.somogyi.sk/data/img/product_main_images/small/19026.jpg")</f>
        <v>0.0</v>
      </c>
      <c r="F953" s="2" t="inlineStr">
        <is>
          <t>5999084970192</t>
        </is>
      </c>
      <c r="G953" s="4" t="inlineStr">
        <is>
          <t xml:space="preserve"> • 112 ks SMD LED  
 • 2000 lm 
 • možnosť voľby teploty farieb: 3000K, 6000K 
 • detekčný uhol senzora pohybu PIR 120°, vzdialenosť 6 m 
 • 240° nastaviteľná hlava svietidla 
 • cez deň sa nabíja, v noci svieti 
 • 2 režimy: 
 • Nepretržité osvetlenie pri 60 % svietivosti počas 5 hodín, potom prepnutie do režimu snímača 
 • Režim snímača: 100 % svietivosť pri detekcii pohybu, potom 5 % svietivosť po 30 sekundách 
 • materiál: anti-UV plast, požiarna odolnosť V0 
 • IP65: ochrana voči tryskajúcej vode (zo všetkých strán) 
 • zabudovaná 32700 LiFePO4 akumulátor 3,2 V 6000 mAh, 19,2 W 
 • výkon solárneho panelu: 6 W 
 • upevňovacie prvky sú príslušenstvom</t>
        </is>
      </c>
    </row>
    <row r="954">
      <c r="A954" s="3" t="inlineStr">
        <is>
          <t>FLP 1600 SOLAR</t>
        </is>
      </c>
      <c r="B954" s="2" t="inlineStr">
        <is>
          <t>LED reflektor so solárnym panelom a senzorom pohybu</t>
        </is>
      </c>
      <c r="C954" s="1" t="n">
        <v>70.59</v>
      </c>
      <c r="D954" s="7" t="n">
        <f>HYPERLINK("https://www.somogyi.sk/product/led-reflektor-so-solarnym-panelom-a-senzorom-pohybu-flp-1600-solar-17129","https://www.somogyi.sk/product/led-reflektor-so-solarnym-panelom-a-senzorom-pohybu-flp-1600-solar-17129")</f>
        <v>0.0</v>
      </c>
      <c r="E954" s="7" t="n">
        <f>HYPERLINK("https://www.somogyi.sk/data/img/product_main_images/small/17129.jpg","https://www.somogyi.sk/data/img/product_main_images/small/17129.jpg")</f>
        <v>0.0</v>
      </c>
      <c r="F954" s="2" t="inlineStr">
        <is>
          <t>5999084951610</t>
        </is>
      </c>
      <c r="G954" s="4" t="inlineStr">
        <is>
          <t xml:space="preserve"> • farba: čierna 
 • výkon: 15 W 
 • umiestnenie na stenu: áno 
 • zdroj svetla: LED 
 • počet zdrojov svetla: 40 ks SMD 2835 LED 
 • svietivosť: 1600 lm 
 • teplota farby: 6000 K 
 • PIR senzor pohybu: PIR senzor pohybu 120°, max. 3-8 m 
 • IP stupeň ochrany: IP65 
 • napájanie: zabudovaný akumulátor Lithium pack, 18650 
 • kapacita akumulátora: 5400 mAh / 7,4 V 
 • prevádzkový čas: extrémne dlhý prevádzkový čas 
 • rozmery: 23,2 x 49,2 x 5,8 cm 
 • hmotnosť: 3,4 kg 
 • ďalšie informácie: materiál: ABS, PC, solárny panel 9,5 Wp monokryštalický silikón, 
 •  nastaviteľný uhol sklonu: hore 20°, dole 10°, 
 •  možno ľahko pripevniť na stenu, rovný (max. ∅60 mm) alebo zakrivený (max. ∅50 mm) stĺp</t>
        </is>
      </c>
    </row>
    <row r="955">
      <c r="A955" s="3" t="inlineStr">
        <is>
          <t>FLP 1100 SOLAR</t>
        </is>
      </c>
      <c r="B955" s="2" t="inlineStr">
        <is>
          <t>LED reflektor so solárnym panelom a senzorom pohybu</t>
        </is>
      </c>
      <c r="C955" s="1" t="n">
        <v>75.49</v>
      </c>
      <c r="D955" s="7" t="n">
        <f>HYPERLINK("https://www.somogyi.sk/product/led-reflektor-so-solarnym-panelom-a-senzorom-pohybu-flp-1100-solar-17128","https://www.somogyi.sk/product/led-reflektor-so-solarnym-panelom-a-senzorom-pohybu-flp-1100-solar-17128")</f>
        <v>0.0</v>
      </c>
      <c r="E955" s="7" t="n">
        <f>HYPERLINK("https://www.somogyi.sk/data/img/product_main_images/small/17128.jpg","https://www.somogyi.sk/data/img/product_main_images/small/17128.jpg")</f>
        <v>0.0</v>
      </c>
      <c r="F955" s="2" t="inlineStr">
        <is>
          <t>5999084951603</t>
        </is>
      </c>
      <c r="G955" s="4" t="inlineStr">
        <is>
          <t xml:space="preserve"> • farba: čierna 
 • výkon: 10 W 
 • umiestnenie na stenu: áno 
 • prenosný: áno 
 • zdroj svetla: LED 
 • počet zdrojov svetla: 55 ks SMD 2835 LED 
 • svietivosť: 1100 lm 
 • teplota farby: 6000 K 
 • PIR senzor pohybu: PIR senzor pohybu 120°, max. 8 m 
 • IP stupeň ochrany: IP65 
 • napájanie: zabudovaný akumulátor Lithium 18650 
 • kapacita akumulátora: 7200 mAh / 3,7 V 
 •  
 • ďalšie informácie: materiál: ABS, PC, 
 •  obojstranný solárny panel: 6,5 Wp 4,5 Wp monokryštalický silikón, 
 •  USB nabíjacie zásuvky 5 V / 0,5 A, 
 •  voliteľné nepretržité osvetlenie, detekcia pohybu alebo kombinovaná funkcia, 
 •  dĺžka kábla: 2,8 m</t>
        </is>
      </c>
    </row>
    <row r="956">
      <c r="A956" s="3" t="inlineStr">
        <is>
          <t>FLL H 50</t>
        </is>
      </c>
      <c r="B956" s="2" t="inlineStr">
        <is>
          <t>LED reflektor, prenosný, 50W, 4000 lm, IP44</t>
        </is>
      </c>
      <c r="C956" s="1" t="n">
        <v>29.39</v>
      </c>
      <c r="D956" s="7" t="n">
        <f>HYPERLINK("https://www.somogyi.sk/product/led-reflektor-prenosny-50w-4000-lm-ip44-fll-h-50-17889","https://www.somogyi.sk/product/led-reflektor-prenosny-50w-4000-lm-ip44-fll-h-50-17889")</f>
        <v>0.0</v>
      </c>
      <c r="E956" s="7" t="n">
        <f>HYPERLINK("https://www.somogyi.sk/data/img/product_main_images/small/17889.jpg","https://www.somogyi.sk/data/img/product_main_images/small/17889.jpg")</f>
        <v>0.0</v>
      </c>
      <c r="F956" s="2" t="inlineStr">
        <is>
          <t>5999084959111</t>
        </is>
      </c>
      <c r="G956" s="4" t="inlineStr">
        <is>
          <t xml:space="preserve"> • farba: čierna 
 • výkon: 50 W 
 • prenosný: áno 
 • zdroj svetla: LED 
 • svietivosť: 4000 lm 
 • teplota farby: 4000 K 
 • IP stupeň ochrany: IP44 
 • dĺžka napájacieho kábla: 1,5 m 
 • napájanie: 220-240 V~ /  50-60 Hz 
 • hmotnosť: 1010 g 
 • ďalšie informácie: nastaviteľný uhol sklonu • sklopný nosný rám • vonkajšie a vnútorné prevedenie • LED zdroj svetla vo svietidle sa nedá  vymeniť • svietidlo nie je vhodné na zvýrazňujúce osvetlenie</t>
        </is>
      </c>
    </row>
    <row r="957">
      <c r="A957" s="3" t="inlineStr">
        <is>
          <t>FLL 20</t>
        </is>
      </c>
      <c r="B957" s="2" t="inlineStr">
        <is>
          <t>LED reflektor, 20W, 1600 lm, IP65</t>
        </is>
      </c>
      <c r="C957" s="1" t="n">
        <v>6.99</v>
      </c>
      <c r="D957" s="7" t="n">
        <f>HYPERLINK("https://www.somogyi.sk/product/led-reflektor-20w-1600-lm-ip65-fll-20-17880","https://www.somogyi.sk/product/led-reflektor-20w-1600-lm-ip65-fll-20-17880")</f>
        <v>0.0</v>
      </c>
      <c r="E957" s="7" t="n">
        <f>HYPERLINK("https://www.somogyi.sk/data/img/product_main_images/small/17880.jpg","https://www.somogyi.sk/data/img/product_main_images/small/17880.jpg")</f>
        <v>0.0</v>
      </c>
      <c r="F957" s="2" t="inlineStr">
        <is>
          <t>5999084959029</t>
        </is>
      </c>
      <c r="G957" s="4" t="inlineStr">
        <is>
          <t xml:space="preserve"> • farba: čierna 
 • výkon: 20 W 
 • umiestnenie na stenu: áno 
 • zdroj svetla: SMD LED 
 • svietivosť: 1600 lm 
 • teplota farby: 4000 K 
 • IP stupeň ochrany: IP65 
 • napájanie: 220-240 V~ /  50-60 Hz 
 • rozmery: 122 x 122 x 90 mm 
 • hmotnosť: 265 g</t>
        </is>
      </c>
    </row>
    <row r="958">
      <c r="A958" s="3" t="inlineStr">
        <is>
          <t>FLL 30</t>
        </is>
      </c>
      <c r="B958" s="2" t="inlineStr">
        <is>
          <t>LED reflektor, 30W, 2400 lm, IP65</t>
        </is>
      </c>
      <c r="C958" s="1" t="n">
        <v>10.69</v>
      </c>
      <c r="D958" s="7" t="n">
        <f>HYPERLINK("https://www.somogyi.sk/product/led-reflektor-30w-2400-lm-ip65-fll-30-17881","https://www.somogyi.sk/product/led-reflektor-30w-2400-lm-ip65-fll-30-17881")</f>
        <v>0.0</v>
      </c>
      <c r="E958" s="7" t="n">
        <f>HYPERLINK("https://www.somogyi.sk/data/img/product_main_images/small/17881.jpg","https://www.somogyi.sk/data/img/product_main_images/small/17881.jpg")</f>
        <v>0.0</v>
      </c>
      <c r="F958" s="2" t="inlineStr">
        <is>
          <t>5999084959036</t>
        </is>
      </c>
      <c r="G958" s="4" t="inlineStr">
        <is>
          <t xml:space="preserve"> • farba: čierna 
 • výkon: 30 W 
 • umiestnenie na stenu: áno 
 • zdroj svetla: SMD LED 
 • svietivosť: 2400 lm 
 • teplota farby: 4000 K 
 • IP stupeň ochrany: IP65 
 • napájanie: 220-240 V~ /  50-60 Hz 
 • rozmery: 145 x 145 x 90 mm 
 • hmotnosť: 340 g</t>
        </is>
      </c>
    </row>
    <row r="959">
      <c r="A959" s="3" t="inlineStr">
        <is>
          <t>FLP 500 SOLAR</t>
        </is>
      </c>
      <c r="B959" s="2" t="inlineStr">
        <is>
          <t>LED reflektor so solárnym panelom a PIR pohybovým senzorom</t>
        </is>
      </c>
      <c r="C959" s="1" t="n">
        <v>25.19</v>
      </c>
      <c r="D959" s="7" t="n">
        <f>HYPERLINK("https://www.somogyi.sk/product/led-reflektor-so-solarnym-panelom-a-pir-pohybovym-senzorom-flp-500-solar-16708","https://www.somogyi.sk/product/led-reflektor-so-solarnym-panelom-a-pir-pohybovym-senzorom-flp-500-solar-16708")</f>
        <v>0.0</v>
      </c>
      <c r="E959" s="7" t="n">
        <f>HYPERLINK("https://www.somogyi.sk/data/img/product_main_images/small/16708.jpg","https://www.somogyi.sk/data/img/product_main_images/small/16708.jpg")</f>
        <v>0.0</v>
      </c>
      <c r="F959" s="2" t="inlineStr">
        <is>
          <t>5999084947408</t>
        </is>
      </c>
      <c r="G959" s="4" t="inlineStr">
        <is>
          <t xml:space="preserve"> • farba: čierna farba 
 • výkon: 5 W 
 • umiestnenie na stenu: áno 
 • prenosný: áno 
 • zdroj svetla: SMD 2835 LED 
 • počet zdrojov svetla: 30 ks 
 • svietivosť: 500 lm 
 • teplota farby: 6000 K 
 • PIR senzor pohybu: PIR senzor pohybu max. 6 m 
 • IP stupeň ochrany: IP65 
 • napájanie: Li-ion akumulátor, 18650 
 • kapacita akumulátora: 3000 mAh 
 • rozmery: 21,8 x 15 x 3,5 cm</t>
        </is>
      </c>
    </row>
    <row r="960">
      <c r="A960" s="3" t="inlineStr">
        <is>
          <t>FLP 2/BK SOLAR</t>
        </is>
      </c>
      <c r="B960" s="2" t="inlineStr">
        <is>
          <t>LED reflektor so solárnym panelom, s pohybovým senzorom, čierna</t>
        </is>
      </c>
      <c r="C960" s="1" t="n">
        <v>14.79</v>
      </c>
      <c r="D960" s="7" t="n">
        <f>HYPERLINK("https://www.somogyi.sk/product/led-reflektor-so-solarnym-panelom-s-pohybovym-senzorom-cierna-flp-2-bk-solar-15493","https://www.somogyi.sk/product/led-reflektor-so-solarnym-panelom-s-pohybovym-senzorom-cierna-flp-2-bk-solar-15493")</f>
        <v>0.0</v>
      </c>
      <c r="E960" s="7" t="n">
        <f>HYPERLINK("https://www.somogyi.sk/data/img/product_main_images/small/15493.jpg","https://www.somogyi.sk/data/img/product_main_images/small/15493.jpg")</f>
        <v>0.0</v>
      </c>
      <c r="F960" s="2" t="inlineStr">
        <is>
          <t>5999084935276</t>
        </is>
      </c>
      <c r="G960" s="4" t="inlineStr">
        <is>
          <t xml:space="preserve"> • farba: čierna 
 • výkon: 1,5 W 
 • umiestnenie na stenu: áno 
 • zdroj svetla: LED 
 • počet zdrojov svetla: 10 X 2835 SMD ( 8 ks predných, 2 ks zadných) 
 • svietivosť: 200 lm 
 • teplota farby: vpredu: 6000 K /vzadu: 3000 K 
 • PIR senzor pohybu: uhol snímania: 120°, max. 6 m 
 • napájanie: 3,7 V, lítiová batéria (nevymeniteľná) 
 • kapacita akumulátora: 1200 mAh 
 • prevádzkový čas: Svietidlo svietí s 3% intenzitou svetla (predné aj zadné LED), v prípade detekcie pohybu svietivosť sa zvýši na 100% cca. na 10 sekúnd. 
 • rozmery: 96 x 152 x 84 mm 
 • hmotnosť: 218 g 
 • ďalšie informácie: Možnosť vypnúť. Svetelné zdroje LED vo svietidle sa nedajú vymeniť!</t>
        </is>
      </c>
    </row>
    <row r="961">
      <c r="A961" s="3" t="inlineStr">
        <is>
          <t>FLP1500SOLAR</t>
        </is>
      </c>
      <c r="B961" s="2" t="inlineStr">
        <is>
          <t>Solárny LED reflektor, s pohybovým senzorom</t>
        </is>
      </c>
      <c r="C961" s="1" t="n">
        <v>36.49</v>
      </c>
      <c r="D961" s="7" t="n">
        <f>HYPERLINK("https://www.somogyi.sk/product/solarny-led-reflektor-s-pohybovym-senzorom-flp1500solar-19027","https://www.somogyi.sk/product/solarny-led-reflektor-s-pohybovym-senzorom-flp1500solar-19027")</f>
        <v>0.0</v>
      </c>
      <c r="E961" s="7" t="n">
        <f>HYPERLINK("https://www.somogyi.sk/data/img/product_main_images/small/19027.jpg","https://www.somogyi.sk/data/img/product_main_images/small/19027.jpg")</f>
        <v>0.0</v>
      </c>
      <c r="F961" s="2" t="inlineStr">
        <is>
          <t>5999084970208</t>
        </is>
      </c>
      <c r="G961" s="4" t="inlineStr">
        <is>
          <t xml:space="preserve"> • 88 ks SMD LED  
 • 1500 lm 
 • možnosť voľby teploty farieb: 3000K, 6000K 
 • detekčný uhol senzora pohybu PIR 120°, vzdialenosť 6 m 
 • cez deň sa nabíja, v noci svieti 
 • možno ovládať diaľkovým ovládačom 
 • nastaviteľná svietivosť 
 • časovač prevádzky 
 • 2 režimy: 
 • Nepretržité osvetlenie podľa predvoleného nastavenia alebo podľa nastavenej svietivosti a prevádzkového času, potom prepnutie do režimu snímača 
 • Režim snímača: 100 % svietivosť pri detekcii pohybu, potom 5 % svietivosť po 30 sekundách 
 • materiál: anti-UV plast, požiarna odolnosť V0 
 • IP65: ochrana voči tryskajúcej vode (zo všetkých strán) 
 • zabudovaná 18650 Li-ion akumulátor 3,7 V 3600 mAh, 13,32 W 
 • výkon solárneho panelu: 4,5 W 
 • dĺžka pripojovacieho kábla: 5 m 
 • upevňovacie prvky sú príslušenstvom</t>
        </is>
      </c>
    </row>
    <row r="962">
      <c r="A962" s="3" t="inlineStr">
        <is>
          <t>FLB 20C</t>
        </is>
      </c>
      <c r="B962" s="2" t="inlineStr">
        <is>
          <t>Nabíjateľný COB LED reflektor</t>
        </is>
      </c>
      <c r="C962" s="1" t="n">
        <v>24.99</v>
      </c>
      <c r="D962" s="7" t="n">
        <f>HYPERLINK("https://www.somogyi.sk/product/nabijatelny-cob-led-reflektor-flb-20c-17284","https://www.somogyi.sk/product/nabijatelny-cob-led-reflektor-flb-20c-17284")</f>
        <v>0.0</v>
      </c>
      <c r="E962" s="7" t="n">
        <f>HYPERLINK("https://www.somogyi.sk/data/img/product_main_images/small/17284.jpg","https://www.somogyi.sk/data/img/product_main_images/small/17284.jpg")</f>
        <v>0.0</v>
      </c>
      <c r="F962" s="2" t="inlineStr">
        <is>
          <t>5999084953065</t>
        </is>
      </c>
      <c r="G962" s="4" t="inlineStr">
        <is>
          <t xml:space="preserve"> • farba: čierna / modrá 
 • výkon: max. 20 W 
 • prenosný: áno 
 • zdroj svetla: COB LED 
 • počet zdrojov svetla: 1 ks 
 • svietivosť: max. 1600 lm 
 • teplota farby: 5000 K 
 • IP stupeň ochrany: IP44 
 • napájanie: zabudovaný akumulátor 
 • kapacita akumulátora: 5400 mAh 
 • prevádzkový čas: max. 3,5 h (750 lm) / max. 2 h (1600 lm) 
 • rozmery: rozmery: 17 x 12,5 x 5 cm / 17 x 12 x 9 cm 
 • hmotnosť: 640 g</t>
        </is>
      </c>
    </row>
    <row r="963">
      <c r="A963" s="3" t="inlineStr">
        <is>
          <t>FLL H 20</t>
        </is>
      </c>
      <c r="B963" s="2" t="inlineStr">
        <is>
          <t>LED reflektor, prenosný, 20W, 1600 lm, IP44, 1.5m*0.75²</t>
        </is>
      </c>
      <c r="C963" s="1" t="n">
        <v>21.09</v>
      </c>
      <c r="D963" s="7" t="n">
        <f>HYPERLINK("https://www.somogyi.sk/product/led-reflektor-prenosny-20w-1600-lm-ip44-1-5m-0-75-fll-h-20-17888","https://www.somogyi.sk/product/led-reflektor-prenosny-20w-1600-lm-ip44-1-5m-0-75-fll-h-20-17888")</f>
        <v>0.0</v>
      </c>
      <c r="E963" s="7" t="n">
        <f>HYPERLINK("https://www.somogyi.sk/data/img/product_main_images/small/17888.jpg","https://www.somogyi.sk/data/img/product_main_images/small/17888.jpg")</f>
        <v>0.0</v>
      </c>
      <c r="F963" s="2" t="inlineStr">
        <is>
          <t>5999084959104</t>
        </is>
      </c>
      <c r="G963" s="4" t="inlineStr">
        <is>
          <t xml:space="preserve"> • farba: čierna 
 • výkon: 20 W 
 • prenosný: áno 
 • zdroj svetla: LED 
 • svietivosť: 1600 lm 
 • teplota farby: 4000 K 
 • IP stupeň ochrany: IP44 
 • dĺžka napájacieho kábla: 1,5 m 
 • napájanie: 220-240 V~ /  50-60 Hz 
 • hmotnosť: 760 g 
 • ďalšie informácie: nastaviteľný uhol sklonu • sklopný nosný rám • vonkajšie a vnútorné prevedenie • LED zdroj svetla vo svietidle sa nedá  vymeniť • svietidlo nie je vhodné na zvýrazňujúce osvetlenie</t>
        </is>
      </c>
    </row>
    <row r="964">
      <c r="A964" s="3" t="inlineStr">
        <is>
          <t>FLB 20</t>
        </is>
      </c>
      <c r="B964" s="2" t="inlineStr">
        <is>
          <t>Nabíjateľný LED reflektor</t>
        </is>
      </c>
      <c r="C964" s="1" t="n">
        <v>38.99</v>
      </c>
      <c r="D964" s="7" t="n">
        <f>HYPERLINK("https://www.somogyi.sk/product/nabijatelny-led-reflektor-flb-20-17124","https://www.somogyi.sk/product/nabijatelny-led-reflektor-flb-20-17124")</f>
        <v>0.0</v>
      </c>
      <c r="E964" s="7" t="n">
        <f>HYPERLINK("https://www.somogyi.sk/data/img/product_main_images/small/17124.jpg","https://www.somogyi.sk/data/img/product_main_images/small/17124.jpg")</f>
        <v>0.0</v>
      </c>
      <c r="F964" s="2" t="inlineStr">
        <is>
          <t>5999084951566</t>
        </is>
      </c>
      <c r="G964" s="4" t="inlineStr">
        <is>
          <t xml:space="preserve"> • farba: čierna / žltá 
 • výkon: 20 W 
 • prenosný: áno 
 • zdroj svetla: COB LED 
 • počet zdrojov svetla: 1 ks 
 • svietivosť: 1600 lm 
 • teplota farby: 5000 K 
 • IP stupeň ochrany: IP54 
 • napájanie: zabudovaný akumulátor 
 • kapacita akumulátora: 2200 mAh 
 • prevádzkový čas: max. 4 h 
 • rozmery: 21 x 18 x 30 cm 
 • hmotnosť: 1230 g</t>
        </is>
      </c>
    </row>
    <row r="965">
      <c r="A965" s="3" t="inlineStr">
        <is>
          <t>FLL 10</t>
        </is>
      </c>
      <c r="B965" s="2" t="inlineStr">
        <is>
          <t>LED reflektor, 10W, 800 lm, IP65</t>
        </is>
      </c>
      <c r="C965" s="1" t="n">
        <v>6.39</v>
      </c>
      <c r="D965" s="7" t="n">
        <f>HYPERLINK("https://www.somogyi.sk/product/led-reflektor-10w-800-lm-ip65-fll-10-17879","https://www.somogyi.sk/product/led-reflektor-10w-800-lm-ip65-fll-10-17879")</f>
        <v>0.0</v>
      </c>
      <c r="E965" s="7" t="n">
        <f>HYPERLINK("https://www.somogyi.sk/data/img/product_main_images/small/17879.jpg","https://www.somogyi.sk/data/img/product_main_images/small/17879.jpg")</f>
        <v>0.0</v>
      </c>
      <c r="F965" s="2" t="inlineStr">
        <is>
          <t>5999084959012</t>
        </is>
      </c>
      <c r="G965" s="4" t="inlineStr">
        <is>
          <t xml:space="preserve"> • farba: čierna 
 • výkon: 10 W 
 • umiestnenie na stenu: áno 
 • zdroj svetla: SMD LED 
 • svietivosť: 800 lm 
 • teplota farby: 4000 K 
 • IP stupeň ochrany: IP65 
 • napájanie: 220-240 V~ /  50-60 Hz 
 • rozmery: 110 x 110 x 90 mm 
 • hmotnosť: 210 g</t>
        </is>
      </c>
    </row>
    <row r="966">
      <c r="A966" s="3" t="inlineStr">
        <is>
          <t>FLL 100</t>
        </is>
      </c>
      <c r="B966" s="2" t="inlineStr">
        <is>
          <t>LED reflektor, 100W, 8200 lm, IP65</t>
        </is>
      </c>
      <c r="C966" s="1" t="n">
        <v>28.69</v>
      </c>
      <c r="D966" s="7" t="n">
        <f>HYPERLINK("https://www.somogyi.sk/product/led-reflektor-100w-8200-lm-ip65-fll-100-17883","https://www.somogyi.sk/product/led-reflektor-100w-8200-lm-ip65-fll-100-17883")</f>
        <v>0.0</v>
      </c>
      <c r="E966" s="7" t="n">
        <f>HYPERLINK("https://www.somogyi.sk/data/img/product_main_images/small/17883.jpg","https://www.somogyi.sk/data/img/product_main_images/small/17883.jpg")</f>
        <v>0.0</v>
      </c>
      <c r="F966" s="2" t="inlineStr">
        <is>
          <t>5999084959050</t>
        </is>
      </c>
      <c r="G966" s="4" t="inlineStr">
        <is>
          <t xml:space="preserve"> • farba: čierna 
 • výkon: 100 W 
 • umiestnenie na stenu: áno 
 • zdroj svetla: SMD LED 
 • svietivosť: 8200 lm 
 • teplota farby: 4000 K 
 • IP stupeň ochrany: IP65 
 • napájanie: 220-240 V~ /  50-60 Hz 
 • rozmery: 280 x 225 x 155 mm 
 • hmotnosť: 1030 g</t>
        </is>
      </c>
    </row>
    <row r="967">
      <c r="A967" s="3" t="inlineStr">
        <is>
          <t>FLL PIR 20</t>
        </is>
      </c>
      <c r="B967" s="2" t="inlineStr">
        <is>
          <t>LED reflektor, s pohybovým senzorom, 20W, 1600 lm, IP65</t>
        </is>
      </c>
      <c r="C967" s="1" t="n">
        <v>13.89</v>
      </c>
      <c r="D967" s="7" t="n">
        <f>HYPERLINK("https://www.somogyi.sk/product/led-reflektor-s-pohybovym-senzorom-20w-1600-lm-ip65-fll-pir-20-17884","https://www.somogyi.sk/product/led-reflektor-s-pohybovym-senzorom-20w-1600-lm-ip65-fll-pir-20-17884")</f>
        <v>0.0</v>
      </c>
      <c r="E967" s="7" t="n">
        <f>HYPERLINK("https://www.somogyi.sk/data/img/product_main_images/small/17884.jpg","https://www.somogyi.sk/data/img/product_main_images/small/17884.jpg")</f>
        <v>0.0</v>
      </c>
      <c r="F967" s="2" t="inlineStr">
        <is>
          <t>5999084959067</t>
        </is>
      </c>
      <c r="G967" s="4" t="inlineStr">
        <is>
          <t xml:space="preserve"> • farba: čierna 
 • výkon: 20 W 
 • umiestnenie na stenu: áno 
 • zdroj svetla: SMD LED 
 • svietivosť: 1600 lm 
 • teplota farby: 4000 K 
 • IP stupeň ochrany: IP65 
 • napájanie: 220-240 V~ /  50-60 Hz 
 • prevádzkový čas: 10±5 sekúnd - 8±2 minút, nastaviteľný 
 • rozmery: 122 x 187 x 115 mm 
 • hmotnosť: 300 g</t>
        </is>
      </c>
    </row>
    <row r="968">
      <c r="A968" s="6" t="inlineStr">
        <is>
          <t xml:space="preserve">   Osvetlenie / Stolné svietidlo</t>
        </is>
      </c>
      <c r="B968" s="6" t="inlineStr">
        <is>
          <t/>
        </is>
      </c>
      <c r="C968" s="6" t="inlineStr">
        <is>
          <t/>
        </is>
      </c>
      <c r="D968" s="6" t="inlineStr">
        <is>
          <t/>
        </is>
      </c>
      <c r="E968" s="6" t="inlineStr">
        <is>
          <t/>
        </is>
      </c>
      <c r="F968" s="6" t="inlineStr">
        <is>
          <t/>
        </is>
      </c>
      <c r="G968" s="6" t="inlineStr">
        <is>
          <t/>
        </is>
      </c>
    </row>
    <row r="969">
      <c r="A969" s="3" t="inlineStr">
        <is>
          <t>LA 51</t>
        </is>
      </c>
      <c r="B969" s="2" t="inlineStr">
        <is>
          <t>LED stolné svietidlo</t>
        </is>
      </c>
      <c r="C969" s="1" t="n">
        <v>36.59</v>
      </c>
      <c r="D969" s="7" t="n">
        <f>HYPERLINK("https://www.somogyi.sk/product/led-stolne-svietidlo-la-51-18174","https://www.somogyi.sk/product/led-stolne-svietidlo-la-51-18174")</f>
        <v>0.0</v>
      </c>
      <c r="E969" s="7" t="n">
        <f>HYPERLINK("https://www.somogyi.sk/data/img/product_main_images/small/18174.jpg","https://www.somogyi.sk/data/img/product_main_images/small/18174.jpg")</f>
        <v>0.0</v>
      </c>
      <c r="F969" s="2" t="inlineStr">
        <is>
          <t>5999084961961</t>
        </is>
      </c>
      <c r="G969" s="4" t="inlineStr">
        <is>
          <t xml:space="preserve"> • výkon: 5 W 
 • zdroj svetla: SMD LED 
 • počet zdrojov svetla: 4 ks teplých bielych a 10 ks studených bielych SMD LED 
 • svietivosť: 400 lm 
 • teplota farby: 2700 K / 5000 K 
 • ovládanie zvukom a dotykom: dotykové ovládanie 
 • nastaviteľná svietivosť: 5 stupňov 
 • budík: áno 
 • napájanie hodín: 1 x 3 V (CR2032), je príslušenstvom 
 • rozmery: 26 x 33 x 15 cm 
 • hmotnosť: 0,79 kg 
 •  
 • ďalšie informácie: LED zdroj svetla vo svietidle sa nedá vymeniť.</t>
        </is>
      </c>
    </row>
    <row r="970">
      <c r="A970" s="3" t="inlineStr">
        <is>
          <t>LA 10 Q</t>
        </is>
      </c>
      <c r="B970" s="2" t="inlineStr">
        <is>
          <t>LED stolné svietidlo s bezdrôtovou nabíjačkou, biela</t>
        </is>
      </c>
      <c r="C970" s="1" t="n">
        <v>38.39</v>
      </c>
      <c r="D970" s="7" t="n">
        <f>HYPERLINK("https://www.somogyi.sk/product/led-stolne-svietidlo-s-bezdrotovou-nabijackou-biela-la-10-q-18200","https://www.somogyi.sk/product/led-stolne-svietidlo-s-bezdrotovou-nabijackou-biela-la-10-q-18200")</f>
        <v>0.0</v>
      </c>
      <c r="E970" s="7" t="n">
        <f>HYPERLINK("https://www.somogyi.sk/data/img/product_main_images/small/18200.jpg","https://www.somogyi.sk/data/img/product_main_images/small/18200.jpg")</f>
        <v>0.0</v>
      </c>
      <c r="F970" s="2" t="inlineStr">
        <is>
          <t>5999084962227</t>
        </is>
      </c>
      <c r="G970" s="4" t="inlineStr">
        <is>
          <t xml:space="preserve"> • výkon: 6 W 
 • svietivosť: 600 lm 
 • ovládanie zvukom a dotykom: dotykové ovládanie 
 • nastaviteľná svietivosť: 5 stupňov 
 • budík: áno 
 • napájanie hodín: 1 x 3 V (CR 2032) batéria, je príslušenstvom 
 • rozmery: 11,5 x 33,5 x 28,5 cm 
 •  
 • ďalšie informácie: svetelný zdroj LED vo svietidle sa nedá vymeniť 
 • farba: biela</t>
        </is>
      </c>
    </row>
    <row r="971">
      <c r="A971" s="3" t="inlineStr">
        <is>
          <t>LA 3</t>
        </is>
      </c>
      <c r="B971" s="2" t="inlineStr">
        <is>
          <t>LED stolná lampa, so sieťovým adaptérom</t>
        </is>
      </c>
      <c r="C971" s="1" t="n">
        <v>12.39</v>
      </c>
      <c r="D971" s="7" t="n">
        <f>HYPERLINK("https://www.somogyi.sk/product/led-stolna-lampa-so-sietovym-adapterom-la-3-14937","https://www.somogyi.sk/product/led-stolna-lampa-so-sietovym-adapterom-la-3-14937")</f>
        <v>0.0</v>
      </c>
      <c r="E971" s="7" t="n">
        <f>HYPERLINK("https://www.somogyi.sk/data/img/product_main_images/small/14937.jpg","https://www.somogyi.sk/data/img/product_main_images/small/14937.jpg")</f>
        <v>0.0</v>
      </c>
      <c r="F971" s="2" t="inlineStr">
        <is>
          <t>5999084929725</t>
        </is>
      </c>
      <c r="G971" s="4" t="inlineStr">
        <is>
          <t xml:space="preserve"> • výkon: 2 W 
 • zdroj svetla: LED 
 • objímka: - 
 • počet zdrojov svetla: 16 ks 
 • svietivosť: 200 lm 
 • teplota farby: 5500 K 
 • ovládanie zvukom a dotykom: dotykové spínače 
 • nastaviteľná svietivosť: 3 stupne 
 • budík: - 
 • energetická trieda: - 
 • dĺžka napájacieho kábla: 0,7 m 
 • napájanie: 3 x AA batéria (nie je príslušenstvom), sieťový adaptér (USB) 
 • rozmery: 8 x 16 x 22 cm 
 • ďalšie informácie: príslušenstvo: sieťový adaptér, USB kábel</t>
        </is>
      </c>
    </row>
    <row r="972">
      <c r="A972" s="3" t="inlineStr">
        <is>
          <t>LA 4</t>
        </is>
      </c>
      <c r="B972" s="2" t="inlineStr">
        <is>
          <t>LED stolné svietidlo s nočným svetlom, kovové, čierna</t>
        </is>
      </c>
      <c r="C972" s="1" t="n">
        <v>29.59</v>
      </c>
      <c r="D972" s="7" t="n">
        <f>HYPERLINK("https://www.somogyi.sk/product/led-stolne-svietidlo-s-nocnym-svetlom-kovove-cierna-la-4-18201","https://www.somogyi.sk/product/led-stolne-svietidlo-s-nocnym-svetlom-kovove-cierna-la-4-18201")</f>
        <v>0.0</v>
      </c>
      <c r="E972" s="7" t="n">
        <f>HYPERLINK("https://www.somogyi.sk/data/img/product_main_images/small/18201.jpg","https://www.somogyi.sk/data/img/product_main_images/small/18201.jpg")</f>
        <v>0.0</v>
      </c>
      <c r="F972" s="2" t="inlineStr">
        <is>
          <t>5999084962234</t>
        </is>
      </c>
      <c r="G972" s="4" t="inlineStr">
        <is>
          <t xml:space="preserve"> • výkon: 5 W 
 • zdroj svetla: SMD LED 
 • svietivosť: 450 lm 
 • teplota farby: nastaviteľné v 5 úrovniach: od teplej bielej cez prirodzené odtiene až po studenú bielu (3000 K, 3500 K, 4200 K, 5000 K, 6000 K) 
 • ovládanie zvukom a dotykom: dotykové ovládanie 
 • nastaviteľná svietivosť: áno 
 • rozmery: 11,5 x 41,2 x 37 cm 
 •  
 • ďalšie informácie: LED zdroj svetla vo svietidle sa nedá vymeniť.</t>
        </is>
      </c>
    </row>
    <row r="973">
      <c r="A973" s="6" t="inlineStr">
        <is>
          <t xml:space="preserve">   Osvetlenie / Redukčná objímka</t>
        </is>
      </c>
      <c r="B973" s="6" t="inlineStr">
        <is>
          <t/>
        </is>
      </c>
      <c r="C973" s="6" t="inlineStr">
        <is>
          <t/>
        </is>
      </c>
      <c r="D973" s="6" t="inlineStr">
        <is>
          <t/>
        </is>
      </c>
      <c r="E973" s="6" t="inlineStr">
        <is>
          <t/>
        </is>
      </c>
      <c r="F973" s="6" t="inlineStr">
        <is>
          <t/>
        </is>
      </c>
      <c r="G973" s="6" t="inlineStr">
        <is>
          <t/>
        </is>
      </c>
    </row>
    <row r="974">
      <c r="A974" s="3" t="inlineStr">
        <is>
          <t>E14/E27</t>
        </is>
      </c>
      <c r="B974" s="2" t="inlineStr">
        <is>
          <t>E14/E27 redukčná objímka</t>
        </is>
      </c>
      <c r="C974" s="1" t="n">
        <v>1.69</v>
      </c>
      <c r="D974" s="7" t="n">
        <f>HYPERLINK("https://www.somogyi.sk/product/e14-e27-redukcna-objimka-e14-e27-14926","https://www.somogyi.sk/product/e14-e27-redukcna-objimka-e14-e27-14926")</f>
        <v>0.0</v>
      </c>
      <c r="E974" s="7" t="n">
        <f>HYPERLINK("https://www.somogyi.sk/data/img/product_main_images/small/14926.jpg","https://www.somogyi.sk/data/img/product_main_images/small/14926.jpg")</f>
        <v>0.0</v>
      </c>
      <c r="F974" s="2" t="inlineStr">
        <is>
          <t>5999084929619</t>
        </is>
      </c>
      <c r="G974" s="4" t="inlineStr">
        <is>
          <t xml:space="preserve"> • objímka zdroja svetla: E14 
 • objímka svietidla: E27 
 • max. A: 2 A 
 • rozmery: Ø29 x 45 mm</t>
        </is>
      </c>
    </row>
    <row r="975">
      <c r="A975" s="3" t="inlineStr">
        <is>
          <t>E27-GU10</t>
        </is>
      </c>
      <c r="B975" s="2" t="inlineStr">
        <is>
          <t>Redukčná objímka</t>
        </is>
      </c>
      <c r="C975" s="1" t="n">
        <v>1.89</v>
      </c>
      <c r="D975" s="7" t="n">
        <f>HYPERLINK("https://www.somogyi.sk/product/redukcna-objimka-e27-gu10-18111","https://www.somogyi.sk/product/redukcna-objimka-e27-gu10-18111")</f>
        <v>0.0</v>
      </c>
      <c r="E975" s="7" t="n">
        <f>HYPERLINK("https://www.somogyi.sk/data/img/product_main_images/small/18111.jpg","https://www.somogyi.sk/data/img/product_main_images/small/18111.jpg")</f>
        <v>0.0</v>
      </c>
      <c r="F975" s="2" t="inlineStr">
        <is>
          <t>5999084961336</t>
        </is>
      </c>
      <c r="G975" s="4" t="inlineStr">
        <is>
          <t xml:space="preserve"> • objímka zdroja svetla: E27 
 • objímka svietidla: GU10 
 • max. A: 0,3 A 
 • rozmery: N/Ø34 x 57 mm</t>
        </is>
      </c>
    </row>
    <row r="976">
      <c r="A976" s="3" t="inlineStr">
        <is>
          <t>E14/GU10</t>
        </is>
      </c>
      <c r="B976" s="2" t="inlineStr">
        <is>
          <t>Redukčná objímka na žiarovky</t>
        </is>
      </c>
      <c r="C976" s="1" t="n">
        <v>1.99</v>
      </c>
      <c r="D976" s="7" t="n">
        <f>HYPERLINK("https://www.somogyi.sk/product/redukcna-objimka-na-ziarovky-e14-gu10-9744","https://www.somogyi.sk/product/redukcna-objimka-na-ziarovky-e14-gu10-9744")</f>
        <v>0.0</v>
      </c>
      <c r="E976" s="7" t="n">
        <f>HYPERLINK("https://www.somogyi.sk/data/img/product_main_images/small/09744.jpg","https://www.somogyi.sk/data/img/product_main_images/small/09744.jpg")</f>
        <v>0.0</v>
      </c>
      <c r="F976" s="2" t="inlineStr">
        <is>
          <t>5998312784747</t>
        </is>
      </c>
      <c r="G976" s="4" t="inlineStr">
        <is>
          <t xml:space="preserve"> • objímka zdroja svetla: E14 
 • objímka svietidla: GU10 
 • max. A: 0,3 A 
 • rozmery: Ø29 x 39 mm</t>
        </is>
      </c>
    </row>
    <row r="977">
      <c r="A977" s="3" t="inlineStr">
        <is>
          <t>GU10/E27</t>
        </is>
      </c>
      <c r="B977" s="2" t="inlineStr">
        <is>
          <t>Redukčná objímka na žiarovky</t>
        </is>
      </c>
      <c r="C977" s="1" t="n">
        <v>1.89</v>
      </c>
      <c r="D977" s="7" t="n">
        <f>HYPERLINK("https://www.somogyi.sk/product/redukcna-objimka-na-ziarovky-gu10-e27-9034","https://www.somogyi.sk/product/redukcna-objimka-na-ziarovky-gu10-e27-9034")</f>
        <v>0.0</v>
      </c>
      <c r="E977" s="7" t="n">
        <f>HYPERLINK("https://www.somogyi.sk/data/img/product_main_images/small/09034.jpg","https://www.somogyi.sk/data/img/product_main_images/small/09034.jpg")</f>
        <v>0.0</v>
      </c>
      <c r="F977" s="2" t="inlineStr">
        <is>
          <t>5998312779149</t>
        </is>
      </c>
      <c r="G977" s="4" t="inlineStr">
        <is>
          <t xml:space="preserve"> • objímka zdroja svetla: GU10 
 • objímka svietidla: E27 
 • max. A: 2 A 
 • rozmery: Ø35 x 54 mm</t>
        </is>
      </c>
    </row>
    <row r="978">
      <c r="A978" s="3" t="inlineStr">
        <is>
          <t>E27/E14</t>
        </is>
      </c>
      <c r="B978" s="2" t="inlineStr">
        <is>
          <t>E27/E14 redukčná objímka</t>
        </is>
      </c>
      <c r="C978" s="1" t="n">
        <v>1.69</v>
      </c>
      <c r="D978" s="7" t="n">
        <f>HYPERLINK("https://www.somogyi.sk/product/e27-e14-redukcna-objimka-e27-e14-14925","https://www.somogyi.sk/product/e27-e14-redukcna-objimka-e27-e14-14925")</f>
        <v>0.0</v>
      </c>
      <c r="E978" s="7" t="n">
        <f>HYPERLINK("https://www.somogyi.sk/data/img/product_main_images/small/14925.jpg","https://www.somogyi.sk/data/img/product_main_images/small/14925.jpg")</f>
        <v>0.0</v>
      </c>
      <c r="F978" s="2" t="inlineStr">
        <is>
          <t>5999084929602</t>
        </is>
      </c>
      <c r="G978" s="4" t="inlineStr">
        <is>
          <t xml:space="preserve"> • objímka zdroja svetla: E27 
 • objímka svietidla: E14 
 • max. A: 2 A 
 • rozmery: Ø41 x 64 mm</t>
        </is>
      </c>
    </row>
    <row r="979">
      <c r="A979" s="3" t="inlineStr">
        <is>
          <t>GU10/E14</t>
        </is>
      </c>
      <c r="B979" s="2" t="inlineStr">
        <is>
          <t>Redukčná objímka na žiarovky</t>
        </is>
      </c>
      <c r="C979" s="1" t="n">
        <v>1.99</v>
      </c>
      <c r="D979" s="7" t="n">
        <f>HYPERLINK("https://www.somogyi.sk/product/redukcna-objimka-na-ziarovky-gu10-e14-9035","https://www.somogyi.sk/product/redukcna-objimka-na-ziarovky-gu10-e14-9035")</f>
        <v>0.0</v>
      </c>
      <c r="E979" s="7" t="n">
        <f>HYPERLINK("https://www.somogyi.sk/data/img/product_main_images/small/09035.jpg","https://www.somogyi.sk/data/img/product_main_images/small/09035.jpg")</f>
        <v>0.0</v>
      </c>
      <c r="F979" s="2" t="inlineStr">
        <is>
          <t>5998312779156</t>
        </is>
      </c>
      <c r="G979" s="4" t="inlineStr">
        <is>
          <t xml:space="preserve"> • objímka zdroja svetla: GU10 
 • objímka svietidla: E14 
 • max. A: 2 A 
 • rozmery: Ø34 x 52 mm</t>
        </is>
      </c>
    </row>
    <row r="980">
      <c r="A980" s="6" t="inlineStr">
        <is>
          <t xml:space="preserve">   Zvuková technika / Autorádio a prehrávač hudby</t>
        </is>
      </c>
      <c r="B980" s="6" t="inlineStr">
        <is>
          <t/>
        </is>
      </c>
      <c r="C980" s="6" t="inlineStr">
        <is>
          <t/>
        </is>
      </c>
      <c r="D980" s="6" t="inlineStr">
        <is>
          <t/>
        </is>
      </c>
      <c r="E980" s="6" t="inlineStr">
        <is>
          <t/>
        </is>
      </c>
      <c r="F980" s="6" t="inlineStr">
        <is>
          <t/>
        </is>
      </c>
      <c r="G980" s="6" t="inlineStr">
        <is>
          <t/>
        </is>
      </c>
    </row>
    <row r="981">
      <c r="A981" s="3" t="inlineStr">
        <is>
          <t>VBT 1100/RD</t>
        </is>
      </c>
      <c r="B981" s="2" t="inlineStr">
        <is>
          <t>Autorádio</t>
        </is>
      </c>
      <c r="C981" s="1" t="n">
        <v>28.99</v>
      </c>
      <c r="D981" s="7" t="n">
        <f>HYPERLINK("https://www.somogyi.sk/product/autoradio-vbt-1100-rd-17519","https://www.somogyi.sk/product/autoradio-vbt-1100-rd-17519")</f>
        <v>0.0</v>
      </c>
      <c r="E981" s="7" t="n">
        <f>HYPERLINK("https://www.somogyi.sk/data/img/product_main_images/small/17519.jpg","https://www.somogyi.sk/data/img/product_main_images/small/17519.jpg")</f>
        <v>0.0</v>
      </c>
      <c r="F981" s="2" t="inlineStr">
        <is>
          <t>5999084955410</t>
        </is>
      </c>
      <c r="G981" s="4" t="inlineStr">
        <is>
          <t xml:space="preserve"> • výstupný výkon: 4 x 45 W 
 • hodiny: presný čas sa zobrazuje aj vo vypnutom stave 
 • bezdrôtové BT spojenie: v2.1 + EDR / max.5 m • Bluetooth 2.402-2.480 GHz ERP ≤2.5 mW 
 • odstrániteľný čelný panel, s puzdrom: nie 
 • rádiofrekvenčné pásmo: 87,5-108,0 MHz 
 • množstvo uložených rádiových staníc: 18 ks 
 • FM RDS rádio: nie 
 • organizovanie knižnice/krokovanie: áno 
 • pripojiteľné zariadenie: USB / SD 
 • audio kompatibilita: MP3 
 • AUX vstup: Ø 35 mm 
 • príslušenstvo: diaľkový ovládač (CR2025 gombíková batéria, je príslušenstvom) 
 • rozmery: 178 x 50 x 125 mm 
 • hmotnosť: 400 g 
 • ďalšie informácie: na autorádiu sú možnosti nastavenia tónu, loudness a EQ</t>
        </is>
      </c>
    </row>
    <row r="982">
      <c r="A982" s="3" t="inlineStr">
        <is>
          <t>VB 2300</t>
        </is>
      </c>
      <c r="B982" s="2" t="inlineStr">
        <is>
          <t>Autorádio, SMART, BT-FM-USB-mSD-AUX</t>
        </is>
      </c>
      <c r="C982" s="1" t="n">
        <v>28.79</v>
      </c>
      <c r="D982" s="7" t="n">
        <f>HYPERLINK("https://www.somogyi.sk/product/autoradio-smart-bt-fm-usb-msd-aux-vb-2300-18060","https://www.somogyi.sk/product/autoradio-smart-bt-fm-usb-msd-aux-vb-2300-18060")</f>
        <v>0.0</v>
      </c>
      <c r="E982" s="7" t="n">
        <f>HYPERLINK("https://www.somogyi.sk/data/img/product_main_images/small/18060.jpg","https://www.somogyi.sk/data/img/product_main_images/small/18060.jpg")</f>
        <v>0.0</v>
      </c>
      <c r="F982" s="2" t="inlineStr">
        <is>
          <t>5999084960827</t>
        </is>
      </c>
      <c r="G982" s="4" t="inlineStr">
        <is>
          <t xml:space="preserve"> • výstupný výkon: 4 x 45 W 
 • hodiny: áno 
 • bezdrôtové BT spojenie: v5.0 / 10 m • Bluetooth 2.402-2.480 GHz ERP ≤2.5 mW 
 • informácie o programoch: áno 
 • rádiofrekvenčné pásmo: 87,5-107,9 MHz 
 • množstvo uložených rádiových staníc: 18 FM 
 • organizovanie knižnice/krokovanie: áno 
 • pripojiteľné zariadenie: USB / microSD / AUX 
 • audio kompatibilita: MP3, WMA, FLAC, APE, WAV 
 • AUX vstup: Ø3,5 mm jack 
 • výstup pre zosilňovač/subwoofer: 4 x RCA 
 • ISO prípojka: áno 
 • príslušenstvo: diaľkový ovládač (CR2025, 3V gombíková batéria, je príslušenstvom) 
 • charakteristiky: telefón sa stane rozšíreným displejom rádia • plnohodnotné rádio aj bez smartfónu • volanie bez dotyku telefónu • vyzváňací tón a rozhovor cez reproduktory auta • zobrazenie telefónneho čísla na displeji odmietnutie / prijatie / ukončenie hovoru / vytáčanie posledné číslo • výborne čitateľný biely, textový displej • zobrazenie presného času stlačením tlačidla • samostatná USB zásuvka pre nabíjanie 
 • rozmery: 178 x 50 x 128 mm 
 • hmotnosť: 350 g</t>
        </is>
      </c>
    </row>
    <row r="983">
      <c r="A983" s="3" t="inlineStr">
        <is>
          <t>VB X1000</t>
        </is>
      </c>
      <c r="B983" s="2" t="inlineStr">
        <is>
          <t>Autorádio, 1xDIN, 9", Android Auto, Carplay</t>
        </is>
      </c>
      <c r="C983" s="1" t="n">
        <v>233.9</v>
      </c>
      <c r="D983" s="7" t="n">
        <f>HYPERLINK("https://www.somogyi.sk/product/autoradio-1xdin-9-android-auto-carplay-vb-x1000-18277","https://www.somogyi.sk/product/autoradio-1xdin-9-android-auto-carplay-vb-x1000-18277")</f>
        <v>0.0</v>
      </c>
      <c r="E983" s="7" t="n">
        <f>HYPERLINK("https://www.somogyi.sk/data/img/product_main_images/small/18277.jpg","https://www.somogyi.sk/data/img/product_main_images/small/18277.jpg")</f>
        <v>0.0</v>
      </c>
      <c r="F983" s="2" t="inlineStr">
        <is>
          <t>5999084962999</t>
        </is>
      </c>
      <c r="G983" s="4" t="inlineStr">
        <is>
          <t xml:space="preserve"> • LCD displej: (16:9) 9” HD / 1024x600 / HQ TFT LCD 
 • výstupný výkon: 4 x 45 W 
 • hodiny: áno 
 • bezdrôtové BT spojenie: v4.0 /~5m • Bluetooth 2.402-2.480 GHz ERP ≤2.5 mW 
 • informácie o programoch: áno 
 • rádiofrekvenčné pásmo: AM / FM 
 • množstvo uložených rádiových staníc: 18 FM / 12 AM 
 • FM RDS rádio: áno 
 • organizovanie knižnice/krokovanie: áno 
 • pripojiteľné zariadenie: USB / microSD (max.64 GB) 
 • skrytá zásuvka pre pamäťovú kartu: áno 
 • video kompatibilita: MPEG-1/2/4, AVI, DivX, Xvid, MKV, MJPEG, MOV, m2ts, Mpeg.ts, H263, H264, VC1, RM, RMVB, DVD (VOB), VCD (DAT), FLV, 3GP, SWF, ASF, VP8, AVS stream… 
 • audio kompatibilita: MP3, WMA, WAV, FLAC, APE, AAC, OGG, 24bit-192kHz WAV… 
 • obrázková kompatibilita: JPG, BMP, GIF, PNG… 
 • video výstup: 1 x RCA 
 • video vstup: 2 x RCA 
 • dedikovaná prípojka pre parkovací senzor: áno 
 • AUX vstup: Ø3,5 mm 
 • výstup pre zosilňovač/subwoofer: 2 1 x RCA výstup pre zosilňovač   aktívny basový reproduktor 
 • ISO prípojka: áno 
 •  
 • charakteristiky: vstavaný a štipcový externý mikrofón • 16-pásmový grafický ekvalizér • možnosť zadného monitora pre pasažierov 
 • hmotnosť: 0,96 kg</t>
        </is>
      </c>
    </row>
    <row r="984">
      <c r="A984" s="3" t="inlineStr">
        <is>
          <t>VBX910</t>
        </is>
      </c>
      <c r="B984" s="2" t="inlineStr">
        <is>
          <t>SMART Autorádio; 2xDIN, 7" LCD, RDS, BT, CPAA</t>
        </is>
      </c>
      <c r="C984" s="1" t="n">
        <v>112.9</v>
      </c>
      <c r="D984" s="7" t="n">
        <f>HYPERLINK("https://www.somogyi.sk/product/smart-autoradio-2xdin-7-lcd-rds-bt-cpaa-vbx910-18162","https://www.somogyi.sk/product/smart-autoradio-2xdin-7-lcd-rds-bt-cpaa-vbx910-18162")</f>
        <v>0.0</v>
      </c>
      <c r="E984" s="7" t="n">
        <f>HYPERLINK("https://www.somogyi.sk/data/img/product_main_images/small/18162.jpg","https://www.somogyi.sk/data/img/product_main_images/small/18162.jpg")</f>
        <v>0.0</v>
      </c>
      <c r="F984" s="2" t="inlineStr">
        <is>
          <t>5999084961848</t>
        </is>
      </c>
      <c r="G984" s="4" t="inlineStr">
        <is>
          <t xml:space="preserve"> • LCD displej: 7,0” (18 cm) fixná LCD dotyková obrazovka 
 • výstupný výkon: 4 x 45 W 
 • hodiny: áno 
 • informácie o programoch: áno 
 • odstrániteľný čelný panel, s puzdrom: nie 
 • rádiofrekvenčné pásmo: AM / FM 
 • množstvo uložených rádiových staníc: 18 FM / 12 AM 
 • FM RDS rádio: áno 
 • RDS služba: áno 
 • organizovanie knižnice/krokovanie: áno 
 • skrytá zásuvka pre pamäťovú kartu: nie 
 • video kompatibilita: MPEG 1/2/4, AVI, DivX, Xvid, MKV, WMV… 
 • audio kompatibilita: MP3, WMA, WAV, FLAC, APE, AAC… 
 • obrázková kompatibilita: JPG, BMP, GIF, PNG… 
 • video výstup: 2 x RCA 
 • video vstup: 1 x RCA 
 • dedikovaná prípojka pre parkovací senzor: 1 x RCA (opcia: SA 143 cúvacia kamera) 
 • audio výstup: 2 x RCA pre zosilňovač   výstup aktívneho basového reproduktora (RCA) 
 • audio vstup: 2 x RCA 
 • AUX vstup: Ø3,5 mm 
 • ISO prípojka: áno 
 • funkcie: autorádio a multimédiálny prehrávač CPAA • volanie bez dotyku telefónu • jednoducho stmievateľný displej (napr. v noci) • nabíjanie telefónu cez USB • možno diaľkovo ovládať z volantu 
 • charakteristiky: menu v 7 jazykoch (anglický/maďarský/slovenský/rumunský/nemecký/srbský/čínsky) • možnosť zadných monitorov pre cestujúcich 
 • rozmery: 180 x 100 x 90 mm / 2x DIN 
 • hmotnosť: 0,85 kg 
 • kompatibilita: iOS CarPlay a Android Auto</t>
        </is>
      </c>
    </row>
    <row r="985">
      <c r="A985" s="3" t="inlineStr">
        <is>
          <t>VBT 1100/BL</t>
        </is>
      </c>
      <c r="B985" s="2" t="inlineStr">
        <is>
          <t>Autorádio</t>
        </is>
      </c>
      <c r="C985" s="1" t="n">
        <v>28.99</v>
      </c>
      <c r="D985" s="7" t="n">
        <f>HYPERLINK("https://www.somogyi.sk/product/autoradio-vbt-1100-bl-17518","https://www.somogyi.sk/product/autoradio-vbt-1100-bl-17518")</f>
        <v>0.0</v>
      </c>
      <c r="E985" s="7" t="n">
        <f>HYPERLINK("https://www.somogyi.sk/data/img/product_main_images/small/17518.jpg","https://www.somogyi.sk/data/img/product_main_images/small/17518.jpg")</f>
        <v>0.0</v>
      </c>
      <c r="F985" s="2" t="inlineStr">
        <is>
          <t>5999084955403</t>
        </is>
      </c>
      <c r="G985" s="4" t="inlineStr">
        <is>
          <t xml:space="preserve"> • osvetlenie pozadia: modrý LED displej a podsvietenie gombíka 
 • výstupný výkon: 4 x 45 W 
 • hodiny: presný čas sa zobrazuje aj vo vypnutom stave 
 • bezdrôtové BT spojenie: v2.1 + EDR / max.5 m • Bluetooth 2.402-2.480 GHz ERP ≤2.5 mW 
 • odstrániteľný čelný panel, s puzdrom: nie 
 • rádiofrekvenčné pásmo: 87,5-108,0 MHz 
 • množstvo uložených rádiových staníc: 18 ks 
 • FM RDS rádio: nie 
 • organizovanie knižnice/krokovanie: áno 
 • pripojiteľné zariadenie: USB / SD 
 • audio kompatibilita: MP3 
 • AUX vstup: Ø 35 mm 
 • výstup pre zosilňovač/subwoofer: 4 x RCA 
 • príslušenstvo: diaľkový ovládač (CR2025 gombíková batéria, je príslušenstvom) 
 • rozmery: 178 x 50 x 125 mm 
 • hmotnosť: 400 g 
 • ďalšie informácie: na autorádiu sú možnosti nastavenia tónu, loudness a EQ</t>
        </is>
      </c>
    </row>
    <row r="986">
      <c r="A986" s="3" t="inlineStr">
        <is>
          <t>VB 4000</t>
        </is>
      </c>
      <c r="B986" s="2" t="inlineStr">
        <is>
          <t>Autorádio; BT-FM RDS-USB-SD-AUX</t>
        </is>
      </c>
      <c r="C986" s="1" t="n">
        <v>53.69</v>
      </c>
      <c r="D986" s="7" t="n">
        <f>HYPERLINK("https://www.somogyi.sk/product/autoradio-bt-fm-rds-usb-sd-aux-vb-4000-16287","https://www.somogyi.sk/product/autoradio-bt-fm-rds-usb-sd-aux-vb-4000-16287")</f>
        <v>0.0</v>
      </c>
      <c r="E986" s="7" t="n">
        <f>HYPERLINK("https://www.somogyi.sk/data/img/product_main_images/small/16287.jpg","https://www.somogyi.sk/data/img/product_main_images/small/16287.jpg")</f>
        <v>0.0</v>
      </c>
      <c r="F986" s="2" t="inlineStr">
        <is>
          <t>5999084943196</t>
        </is>
      </c>
      <c r="G986" s="4" t="inlineStr">
        <is>
          <t xml:space="preserve"> • výstupný výkon: 4 x 45 W 
 • hodiny: áno 
 • bezdrôtové BT spojenie: v2.1 + EDR / max.5 m • Bluetooth 2.402-2.480 GHz ERP ≤2.5 mW 
 • informácie o programoch: zobrazenie MP3 „iD3 Tag” informácií 
 • odstrániteľný čelný panel, s puzdrom: nie 
 • rádiofrekvenčné pásmo: FM 
 • množstvo uložených rádiových staníc: 18 ks 
 • FM RDS rádio: áno 
 • RDS služba: áno 
 • organizovanie knižnice/krokovanie: áno 
 • pripojiteľné zariadenie: USB / SD / AUX 
 • skrytá zásuvka pre pamäťovú kartu: nie 
 • video kompatibilita: nie 
 • audio kompatibilita: MP3 / WMA 
 • AUX vstup: Ø3,5 mm 
 • výstup pre zosilňovač/subwoofer: 4 x RCA 
 • ISO prípojka: áno 
 • príslušenstvo: diaľkový ovládač (1 x 3 V (CR2025) gombíková batéria, je príslušenstvom 
 • rozmery: 178 x 50 x 120 mm 
 • hmotnosť: 410 g 
 • ďalšie informácie: 2in1: zabudovaný a štipcový externý mikrofón (1,8 m)</t>
        </is>
      </c>
    </row>
    <row r="987">
      <c r="A987" s="6" t="inlineStr">
        <is>
          <t xml:space="preserve">   Zvuková technika / Zosilňovač do auta</t>
        </is>
      </c>
      <c r="B987" s="6" t="inlineStr">
        <is>
          <t/>
        </is>
      </c>
      <c r="C987" s="6" t="inlineStr">
        <is>
          <t/>
        </is>
      </c>
      <c r="D987" s="6" t="inlineStr">
        <is>
          <t/>
        </is>
      </c>
      <c r="E987" s="6" t="inlineStr">
        <is>
          <t/>
        </is>
      </c>
      <c r="F987" s="6" t="inlineStr">
        <is>
          <t/>
        </is>
      </c>
      <c r="G987" s="6" t="inlineStr">
        <is>
          <t/>
        </is>
      </c>
    </row>
    <row r="988">
      <c r="A988" s="3" t="inlineStr">
        <is>
          <t>SBF 2025</t>
        </is>
      </c>
      <c r="B988" s="2" t="inlineStr">
        <is>
          <t>Univerzálny zosilňovač do auta, 2 pásmové, 4ohm, 50W</t>
        </is>
      </c>
      <c r="C988" s="1" t="n">
        <v>30.99</v>
      </c>
      <c r="D988" s="7" t="n">
        <f>HYPERLINK("https://www.somogyi.sk/product/univerzalny-zosilnovac-do-auta-2-pasmove-4ohm-50w-sbf-2025-4741","https://www.somogyi.sk/product/univerzalny-zosilnovac-do-auta-2-pasmove-4ohm-50w-sbf-2025-4741")</f>
        <v>0.0</v>
      </c>
      <c r="E988" s="7" t="n">
        <f>HYPERLINK("https://www.somogyi.sk/data/img/product_main_images/small/04741.jpg","https://www.somogyi.sk/data/img/product_main_images/small/04741.jpg")</f>
        <v>0.0</v>
      </c>
      <c r="F988" s="2" t="inlineStr">
        <is>
          <t>5998312741856</t>
        </is>
      </c>
      <c r="G988" s="4" t="inlineStr">
        <is>
          <t xml:space="preserve"> • počet kanálov: 2 
 • výstupný výkon: 2 x 25 W 
 • impedancia reproduktora: 2 x 4 Ω 
 • režim výhybky: 3 typy: basové / stredobasové + výškové / širokopásmové 
 • regulovateľná hlasitosť: áno 
 • nízkoúrovňový vstup: áno 
 • vysoko úrovňový vstup: áno 
 • LED kontrolka: áno 
 • pozlátená prípojka: áno 
 • príslušenstvo: 3 typy prípojok 
 • rozmery: 65 x 40 x 100 mm 
 • ďalšie informácie: zapojenie výškového vstupu v poradí zhora nadol: pravá + / pravá - / ľavá - / ľavá +</t>
        </is>
      </c>
    </row>
    <row r="989">
      <c r="A989" s="6" t="inlineStr">
        <is>
          <t xml:space="preserve">   Zvuková technika / FM modulátor, bezdrôtové BT spojenie</t>
        </is>
      </c>
      <c r="B989" s="6" t="inlineStr">
        <is>
          <t/>
        </is>
      </c>
      <c r="C989" s="6" t="inlineStr">
        <is>
          <t/>
        </is>
      </c>
      <c r="D989" s="6" t="inlineStr">
        <is>
          <t/>
        </is>
      </c>
      <c r="E989" s="6" t="inlineStr">
        <is>
          <t/>
        </is>
      </c>
      <c r="F989" s="6" t="inlineStr">
        <is>
          <t/>
        </is>
      </c>
      <c r="G989" s="6" t="inlineStr">
        <is>
          <t/>
        </is>
      </c>
    </row>
    <row r="990">
      <c r="A990" s="3" t="inlineStr">
        <is>
          <t>FMBT MIC</t>
        </is>
      </c>
      <c r="B990" s="2" t="inlineStr">
        <is>
          <t>Handsfree a nabíjačka do auta</t>
        </is>
      </c>
      <c r="C990" s="1" t="n">
        <v>30.19</v>
      </c>
      <c r="D990" s="7" t="n">
        <f>HYPERLINK("https://www.somogyi.sk/product/handsfree-a-nabijacka-do-auta-fmbt-mic-17281","https://www.somogyi.sk/product/handsfree-a-nabijacka-do-auta-fmbt-mic-17281")</f>
        <v>0.0</v>
      </c>
      <c r="E990" s="7" t="n">
        <f>HYPERLINK("https://www.somogyi.sk/data/img/product_main_images/small/17281.jpg","https://www.somogyi.sk/data/img/product_main_images/small/17281.jpg")</f>
        <v>0.0</v>
      </c>
      <c r="F990" s="2" t="inlineStr">
        <is>
          <t>5999084953034</t>
        </is>
      </c>
      <c r="G990" s="4" t="inlineStr">
        <is>
          <t xml:space="preserve"> • prevádzková frekvencia: 87,5 - 107,9 MHz 
 • displej: LED displej 
 • USB nabíjacia zásuvka: 2,4A   1,0A 
 • pripojiteľné zariadenie: USB / microSD, (FAT32, max. 64 GB) 
 • audio kompatibilita: MP3 / WMA / WAV / FLAC 
 • hlasný odposluch telefónu: áno 
 • funkcia prehrávania hudby: prehrávanie, pauza, krokovanie, hlasitosť 
 • automatické pripojenie: áno 
 • napájanie: 12 - 24 V DC (prípojka do autozapalovača) 
 • BT: Bluetooth 2.402-2.480 GHz ERP ≤2.5 mW (v5.0 / 10 m max.) 
 • ďalšie informácie: 5in1: BT ozvučenie   FM modulátor   dvojitá USB rýchlonabíjačka   prehrávač hudby   akumulátor Voltmeter  • Aktivovanie zvukového asistenta (Siri/Google Assistant)</t>
        </is>
      </c>
    </row>
    <row r="991">
      <c r="A991" s="3" t="inlineStr">
        <is>
          <t>FMBT HIFI</t>
        </is>
      </c>
      <c r="B991" s="2" t="inlineStr">
        <is>
          <t>Handsfree a nabíjačka do auta</t>
        </is>
      </c>
      <c r="C991" s="1" t="n">
        <v>34.29</v>
      </c>
      <c r="D991" s="7" t="n">
        <f>HYPERLINK("https://www.somogyi.sk/product/handsfree-a-nabijacka-do-auta-fmbt-hifi-17750","https://www.somogyi.sk/product/handsfree-a-nabijacka-do-auta-fmbt-hifi-17750")</f>
        <v>0.0</v>
      </c>
      <c r="E991" s="7" t="n">
        <f>HYPERLINK("https://www.somogyi.sk/data/img/product_main_images/small/17750.jpg","https://www.somogyi.sk/data/img/product_main_images/small/17750.jpg")</f>
        <v>0.0</v>
      </c>
      <c r="F991" s="2" t="inlineStr">
        <is>
          <t>5999084957728</t>
        </is>
      </c>
      <c r="G991" s="4" t="inlineStr">
        <is>
          <t xml:space="preserve"> • prevádzková frekvencia: 87,5 - 108 MHz 
 • displej: veľký, 1,8” farebný LCD displej 
 • USB nabíjacia zásuvka: dvojitá USB rýchlonabíjačka: QC3.0   5 V / 1.0 A (23 W) 
 • audio kompatibilita: MP3, WMA, WAV, FLAC, APE 
 • organizovanie knižnice/krokovanie: áno 
 • opakovanie skladby/ knižnice, náhodné poradie: áno 
 • EQ nastavenia: 7 režimov EQ (Natural, Rock, Pop, Classic, Soft, Jazz, Dynamic Bass Boost) a ovládanie vysokých/nízkych tónov 
 • sklopiteľná ovládacia plocha: áno 
 • hlasný odposluch telefónu: áno 
 • zabudovaný mikrofón: áno 
 • funkcia volania: prijímanie, ukončovanie, odmietanie a opätovné vytáčanie hovorov bez dotyku telefónu 
 • funkcia prehrávania hudby: prehrávanie, pauza, krokovanie, hlasitosť 
 • automatické pripojenie: áno 
 • napájanie: 12 V DC (prípojka autozapaľovača) 
 • rozmery: control panel: 41 x 84 mm 
 • BT: v5.0 / 8 m max.• Bluetooth 2.402-2.480 GHz ERP ≤2.5 mW 
 • ďalšie informácie: 5v1: BT hlasitý odposluch, FM modulátor, dvojitá USB nabíjačka, hudobný prehrávač, voltmeter do auta • skutočný 19-pásmový spektrálny analyzátor • kvalitný D/A prevodník a šumový filter • vstavaný šumový filter „ground loop“ • textová informácia o skladbe • prehľadný, viacjazyčné menu (EN , HU, SK, RO) • zvukové hlásenie telefónneho čísla (anglicky) a zobrazenie na displeji • môžete skontrolovať stav autobatérie</t>
        </is>
      </c>
    </row>
    <row r="992">
      <c r="A992" s="3" t="inlineStr">
        <is>
          <t>FMBT 280</t>
        </is>
      </c>
      <c r="B992" s="2" t="inlineStr">
        <is>
          <t>FM modulátor a Bluetooth</t>
        </is>
      </c>
      <c r="C992" s="1" t="n">
        <v>15.29</v>
      </c>
      <c r="D992" s="7" t="n">
        <f>HYPERLINK("https://www.somogyi.sk/product/fm-modulator-a-bluetooth-fmbt-280-17986","https://www.somogyi.sk/product/fm-modulator-a-bluetooth-fmbt-280-17986")</f>
        <v>0.0</v>
      </c>
      <c r="E992" s="7" t="n">
        <f>HYPERLINK("https://www.somogyi.sk/data/img/product_main_images/small/17986.jpg","https://www.somogyi.sk/data/img/product_main_images/small/17986.jpg")</f>
        <v>0.0</v>
      </c>
      <c r="F992" s="2" t="inlineStr">
        <is>
          <t>5999084960087</t>
        </is>
      </c>
      <c r="G992" s="4" t="inlineStr">
        <is>
          <t xml:space="preserve"> • prevádzková frekvencia: 88,1 - 107,9 MHz 
 • USB nabíjacia zásuvka: USB nabíjačka telefónu, 5 V/1 A max. 
 • pripojiteľné zariadenie: USB / microSD (FAT32, max. 32 GB) 
 • audio kompatibilita: MP3 / WMA 
 • organizovanie knižnice/krokovanie: krokovanie programu 
 • EQ nastavenia: 6 druhov (CLA, CUT, NOR, POP, ROC, JAZ) tónov 
 • sklopiteľná ovládacia plocha: áno 
 • hlasný odposluch telefónu: áno 
 • zabudovaný mikrofón: áno 
 • funkcia volania: prijímanie, ukončovanie, odmietanie a opätovné vytáčanie hovorov bez dotyku telefónu 
 • automatické pripojenie: áno 
 • príslušenstvo: diaľkový ovládač je príslušenstvom (1 x 3 V (CR2025) gombíková batéria, je príslušenstvom) 
 • napájanie: 12 - 24 V DC 
 • BT: v3.0 / 10 m max.• Bluetooth 2.402-2.480 GHz ERP ≤2.5 mW</t>
        </is>
      </c>
    </row>
    <row r="993">
      <c r="A993" s="3" t="inlineStr">
        <is>
          <t>FMBT 1000</t>
        </is>
      </c>
      <c r="B993" s="2" t="inlineStr">
        <is>
          <t>BT slúchadlá s nabíjačkou do auta</t>
        </is>
      </c>
      <c r="C993" s="1" t="n">
        <v>23.39</v>
      </c>
      <c r="D993" s="7" t="n">
        <f>HYPERLINK("https://www.somogyi.sk/product/bt-sluchadla-s-nabijackou-do-auta-fmbt-1000-17238","https://www.somogyi.sk/product/bt-sluchadla-s-nabijackou-do-auta-fmbt-1000-17238")</f>
        <v>0.0</v>
      </c>
      <c r="E993" s="7" t="n">
        <f>HYPERLINK("https://www.somogyi.sk/data/img/product_main_images/small/17238.jpg","https://www.somogyi.sk/data/img/product_main_images/small/17238.jpg")</f>
        <v>0.0</v>
      </c>
      <c r="F993" s="2" t="inlineStr">
        <is>
          <t>5999084952624</t>
        </is>
      </c>
      <c r="G993" s="4" t="inlineStr">
        <is>
          <t xml:space="preserve"> • prevádzková frekvencia: 87,5-108,0 MHz 
 • displej: 4 digitový LCD 
 • USB nabíjacia zásuvka: USB-A 5V / 3,0 A max. ; USB-C 5 V / 3.0 A max. 
 • hlasný odposluch telefónu: áno 
 • zabudovaný mikrofón: áno 
 • funkcia volania: prijímanie, ukončovanie a opätovné vytáčanie hovorov 
 • funkcia prehrávania hudby: prehrávanie, pauza, krokovanie, hlasitosť 
 • automatické pripojenie: áno 
 • napájanie: 12 – 24 V DC 
 • BT: v5.0 / 10 m max.</t>
        </is>
      </c>
    </row>
    <row r="994">
      <c r="A994" s="3" t="inlineStr">
        <is>
          <t>FMBT 18RGB</t>
        </is>
      </c>
      <c r="B994" s="2" t="inlineStr">
        <is>
          <t>FM modulátor a Bluetooth</t>
        </is>
      </c>
      <c r="C994" s="1" t="n">
        <v>29.59</v>
      </c>
      <c r="D994" s="7" t="n">
        <f>HYPERLINK("https://www.somogyi.sk/product/fm-modulator-a-bluetooth-fmbt-18rgb-18106","https://www.somogyi.sk/product/fm-modulator-a-bluetooth-fmbt-18rgb-18106")</f>
        <v>0.0</v>
      </c>
      <c r="E994" s="7" t="n">
        <f>HYPERLINK("https://www.somogyi.sk/data/img/product_main_images/small/18106.jpg","https://www.somogyi.sk/data/img/product_main_images/small/18106.jpg")</f>
        <v>0.0</v>
      </c>
      <c r="F994" s="2" t="inlineStr">
        <is>
          <t>5999084961282</t>
        </is>
      </c>
      <c r="G994" s="4" t="inlineStr">
        <is>
          <t xml:space="preserve"> • prevádzková frekvencia: 87,6 - 107,9 MHz 
 • USB nabíjacia zásuvka: dvojitá USB rýchlonabíjačka: 2,4A   QC3.0 
 • pripojiteľné zariadenie: USB / microSD (FAT32, max. 32 GB) 
 • audio kompatibilita: MP3 / WMA / WAV / FLAC 
 • hlasný odposluch telefónu: áno 
 • zabudovaný mikrofón: áno 
 •  
 • automatické pripojenie: áno 
 • funkcie: 5v1: BT handsfree   FM modulátor   dvojitá USB rýchlonabíjačka   hudobný prehrávač   voltmeter akumulátorov 
 • napájanie: 12/24 V DC 
 • BT: Bluetooth 2.402-2.480 GHz ERP ≤2.5 mW (v5.1, 10 m max.) 
 • mikrofón: áno 
 • charakteristiky: vstavaný merač napätia akumulátora • RGB svetelné efekty (možno vypnúť) • pohodlná manipulácia pomocou otočného gombíka</t>
        </is>
      </c>
    </row>
    <row r="995">
      <c r="A995" s="3" t="inlineStr">
        <is>
          <t>BTRC 30</t>
        </is>
      </c>
      <c r="B995" s="2" t="inlineStr">
        <is>
          <t>Bezdrótový BT adaptér</t>
        </is>
      </c>
      <c r="C995" s="1" t="n">
        <v>8.89</v>
      </c>
      <c r="D995" s="7" t="n">
        <f>HYPERLINK("https://www.somogyi.sk/product/bezdrotovy-bt-adapter-btrc-30-17095","https://www.somogyi.sk/product/bezdrotovy-bt-adapter-btrc-30-17095")</f>
        <v>0.0</v>
      </c>
      <c r="E995" s="7" t="n">
        <f>HYPERLINK("https://www.somogyi.sk/data/img/product_main_images/small/17095.jpg","https://www.somogyi.sk/data/img/product_main_images/small/17095.jpg")</f>
        <v>0.0</v>
      </c>
      <c r="F995" s="2" t="inlineStr">
        <is>
          <t>5999084951276</t>
        </is>
      </c>
      <c r="G995" s="4" t="inlineStr">
        <is>
          <t xml:space="preserve"> • pripojiteľné zariadenie: Ø3,5 mm, jack vidlica 
 • automatické pripojenie: áno 
 • príslušenstvo: 3,5 mm/3,5 mm audio kábel, (~1,0 m) 
 • rozmery: 20 x 33 x 10 mm 
 • BT: v5.0 / max.10 m • Bluetooth 2.402-2.480 GHz ERP ≤2.5 mW 
 • ďalšie informácie: prepínateľný BT prijímač alebo BT vysielač • bezdrôtové stereo prehrávanie hudby • možno spárovať súčasne iba s jedným BT zariadením</t>
        </is>
      </c>
    </row>
    <row r="996">
      <c r="A996" s="3" t="inlineStr">
        <is>
          <t>BTRC 100</t>
        </is>
      </c>
      <c r="B996" s="2" t="inlineStr">
        <is>
          <t>BT adaptér</t>
        </is>
      </c>
      <c r="C996" s="1" t="n">
        <v>27.29</v>
      </c>
      <c r="D996" s="7" t="n">
        <f>HYPERLINK("https://www.somogyi.sk/product/bt-adapter-btrc-100-15490","https://www.somogyi.sk/product/bt-adapter-btrc-100-15490")</f>
        <v>0.0</v>
      </c>
      <c r="E996" s="7" t="n">
        <f>HYPERLINK("https://www.somogyi.sk/data/img/product_main_images/small/15490.jpg","https://www.somogyi.sk/data/img/product_main_images/small/15490.jpg")</f>
        <v>0.0</v>
      </c>
      <c r="F996" s="2" t="inlineStr">
        <is>
          <t>5999084935245</t>
        </is>
      </c>
      <c r="G996" s="4" t="inlineStr">
        <is>
          <t xml:space="preserve"> • pripojiteľné zariadenie: vysielač: Ø3,5 mm stereo jack vidlica / prijímač: Ø3,5 mm stereo jack vidlica 
 • automatické pripojenie: áno 
 • automatická pohotovosť: áno 
 • príslušenstvo: USB – microUSB kábel / Ø3,5 mm - Ø3,5 mm kábel /  Ø3,5 mm kábel – 2 x RCA kábel 
 • napájanie: zabudovaný akumulátor 
 • BT: BT prijímač v4.1 stereo, BT vysielač v2.1 mono (max.10 m) • Bluetooth 2.402-2.480 GHz ERP ≤2.5 mW 
 • ďalšie informácie: Možnosť použiť naraz len jeden režim! Zmena režimu (vysielač / prijímač) nastane automaticky po pripojení kábla (Ø3,5 mm vidlica).</t>
        </is>
      </c>
    </row>
    <row r="997">
      <c r="A997" s="3" t="inlineStr">
        <is>
          <t>BTRC 1000</t>
        </is>
      </c>
      <c r="B997" s="2" t="inlineStr">
        <is>
          <t>Bluetooth prijímací - vysielací adaptér, 5in1</t>
        </is>
      </c>
      <c r="C997" s="1" t="n">
        <v>42.39</v>
      </c>
      <c r="D997" s="7" t="n">
        <f>HYPERLINK("https://www.somogyi.sk/product/bluetooth-prijimaci-vysielaci-adapter-5in1-btrc-1000-18188","https://www.somogyi.sk/product/bluetooth-prijimaci-vysielaci-adapter-5in1-btrc-1000-18188")</f>
        <v>0.0</v>
      </c>
      <c r="E997" s="7" t="n">
        <f>HYPERLINK("https://www.somogyi.sk/data/img/product_main_images/small/18188.jpg","https://www.somogyi.sk/data/img/product_main_images/small/18188.jpg")</f>
        <v>0.0</v>
      </c>
      <c r="F997" s="2" t="inlineStr">
        <is>
          <t>5999084962104</t>
        </is>
      </c>
      <c r="G997" s="4" t="inlineStr">
        <is>
          <t xml:space="preserve"> • displej: LCD 1.8” displej 
 • pripojiteľné zariadenie: ∅3,5 mm analógový výstup a vstup, optický digitálny výstup a vstup Toslink 
 •  
 • BT: v5.0 / ~10 m nyílt terepen • Bluetooth 2.402-2.480 GHz ERP ≤2.5 mW 
 • charakteristiky: je možné súčasne pripojiť dve zariadenia BT • ku káblovým a bezdrôtovým slúchadlám</t>
        </is>
      </c>
    </row>
    <row r="998">
      <c r="A998" s="6" t="inlineStr">
        <is>
          <t xml:space="preserve">   Zvuková technika / Videotechnika do auta</t>
        </is>
      </c>
      <c r="B998" s="6" t="inlineStr">
        <is>
          <t/>
        </is>
      </c>
      <c r="C998" s="6" t="inlineStr">
        <is>
          <t/>
        </is>
      </c>
      <c r="D998" s="6" t="inlineStr">
        <is>
          <t/>
        </is>
      </c>
      <c r="E998" s="6" t="inlineStr">
        <is>
          <t/>
        </is>
      </c>
      <c r="F998" s="6" t="inlineStr">
        <is>
          <t/>
        </is>
      </c>
      <c r="G998" s="6" t="inlineStr">
        <is>
          <t/>
        </is>
      </c>
    </row>
    <row r="999">
      <c r="A999" s="3" t="inlineStr">
        <is>
          <t>SA 143</t>
        </is>
      </c>
      <c r="B999" s="2" t="inlineStr">
        <is>
          <t>Parkovacia kamera</t>
        </is>
      </c>
      <c r="C999" s="1" t="n">
        <v>16.99</v>
      </c>
      <c r="D999" s="7" t="n">
        <f>HYPERLINK("https://www.somogyi.sk/product/parkovacia-kamera-sa-143-16155","https://www.somogyi.sk/product/parkovacia-kamera-sa-143-16155")</f>
        <v>0.0</v>
      </c>
      <c r="E999" s="7" t="n">
        <f>HYPERLINK("https://www.somogyi.sk/data/img/product_main_images/small/16155.jpg","https://www.somogyi.sk/data/img/product_main_images/small/16155.jpg")</f>
        <v>0.0</v>
      </c>
      <c r="F999" s="2" t="inlineStr">
        <is>
          <t>5999084941871</t>
        </is>
      </c>
      <c r="G999" s="4" t="inlineStr">
        <is>
          <t xml:space="preserve"> • farba: čierna 
 • rozlíšenie: 420 TV rad 
 • zorný uhol: 150° 
 • A/V výstup: video: 1 Vp-p, 75 Ω (RCA) 
 • upevnenie: skrutkovaním 
 • napájanie: 12 V DC 
 • rozmery: ∅18 x21 mm</t>
        </is>
      </c>
    </row>
    <row r="1000">
      <c r="A1000" s="6" t="inlineStr">
        <is>
          <t xml:space="preserve">   Zvuková technika / Subwoofer, subwoofer tuba</t>
        </is>
      </c>
      <c r="B1000" s="6" t="inlineStr">
        <is>
          <t/>
        </is>
      </c>
      <c r="C1000" s="6" t="inlineStr">
        <is>
          <t/>
        </is>
      </c>
      <c r="D1000" s="6" t="inlineStr">
        <is>
          <t/>
        </is>
      </c>
      <c r="E1000" s="6" t="inlineStr">
        <is>
          <t/>
        </is>
      </c>
      <c r="F1000" s="6" t="inlineStr">
        <is>
          <t/>
        </is>
      </c>
      <c r="G1000" s="6" t="inlineStr">
        <is>
          <t/>
        </is>
      </c>
    </row>
    <row r="1001">
      <c r="A1001" s="3" t="inlineStr">
        <is>
          <t>BS 10</t>
        </is>
      </c>
      <c r="B1001" s="2" t="inlineStr">
        <is>
          <t>Subwoofer</t>
        </is>
      </c>
      <c r="C1001" s="1" t="n">
        <v>54.29</v>
      </c>
      <c r="D1001" s="7" t="n">
        <f>HYPERLINK("https://www.somogyi.sk/product/subwoofer-bs-10-14179","https://www.somogyi.sk/product/subwoofer-bs-10-14179")</f>
        <v>0.0</v>
      </c>
      <c r="E1001" s="7" t="n">
        <f>HYPERLINK("https://www.somogyi.sk/data/img/product_main_images/small/14179.jpg","https://www.somogyi.sk/data/img/product_main_images/small/14179.jpg")</f>
        <v>0.0</v>
      </c>
      <c r="F1001" s="2" t="inlineStr">
        <is>
          <t>5999084922276</t>
        </is>
      </c>
      <c r="G1001" s="4" t="inlineStr">
        <is>
          <t xml:space="preserve"> • zabudovaný zosilňovač: nie 
 • výkon: 150 / 100 W 
 • regulovateľná výhybka: nie 
 • frekvenčné pásmo: 35 - 3500 Hz 
 • regulátor hlasitosti: nie 
 • nízkoúrovňový vstup: nie 
 • vysoko úrovňový vstup: nie 
 • diaľkovo ovládateľné za-/vypnutie: nie 
 • priemer reproduktora: 250 mm 
 • materiál kónusu: polypropylén 
 • impedancia reproduktora: 4 Ω 
 • mriežka na reproduktor: nie 
 • prevedenie reproboxu: dynamic-bass, uzavretá konštrukcia 
 • rozmery: 355 x 300 x 180 mm</t>
        </is>
      </c>
    </row>
    <row r="1002">
      <c r="A1002" s="3" t="inlineStr">
        <is>
          <t>BS 10/A</t>
        </is>
      </c>
      <c r="B1002" s="2" t="inlineStr">
        <is>
          <t>Aktívny subwoofer, uzavretý, 250 mm, 4 ohm, 200 W</t>
        </is>
      </c>
      <c r="C1002" s="1" t="n">
        <v>99.99</v>
      </c>
      <c r="D1002" s="7" t="n">
        <f>HYPERLINK("https://www.somogyi.sk/product/aktivny-subwoofer-uzavrety-250-mm-4-ohm-200-w-bs-10-a-14180","https://www.somogyi.sk/product/aktivny-subwoofer-uzavrety-250-mm-4-ohm-200-w-bs-10-a-14180")</f>
        <v>0.0</v>
      </c>
      <c r="E1002" s="7" t="n">
        <f>HYPERLINK("https://www.somogyi.sk/data/img/product_main_images/small/14180.jpg","https://www.somogyi.sk/data/img/product_main_images/small/14180.jpg")</f>
        <v>0.0</v>
      </c>
      <c r="F1002" s="2" t="inlineStr">
        <is>
          <t>5999084922283</t>
        </is>
      </c>
      <c r="G1002" s="4" t="inlineStr">
        <is>
          <t xml:space="preserve"> • zabudovaný zosilňovač: áno 
 • výkon: 200 / 150 W 
 • regulovateľná výhybka: áno 
 • frekvenčné pásmo: 20 -  (35) 200 Hz 
 • regulátor hlasitosti: áno 
 • nízkoúrovňový vstup: 2 x RCA zásuvka 
 • vysoko úrovňový vstup: áno 
 • diaľkovo ovládateľné za-/vypnutie: áno 
 • priemer reproduktora: 250 mm 
 • materiál kónusu: polypropylén 
 • impedancia reproduktora: 4 Ω 
 • mriežka na reproduktor: nie 
 • prevedenie reproboxu: uzavretý reprobox 
 • príslušenstvo: prípojka pre vysokoúrovňový vstupný signál (10 cm) 
 • rozmery: 340 x 310 x 280 mm 
 • hmotnosť: 5,45 kg</t>
        </is>
      </c>
    </row>
    <row r="1003">
      <c r="A1003" s="6" t="inlineStr">
        <is>
          <t xml:space="preserve">   Zvuková technika / Autoreproduktor</t>
        </is>
      </c>
      <c r="B1003" s="6" t="inlineStr">
        <is>
          <t/>
        </is>
      </c>
      <c r="C1003" s="6" t="inlineStr">
        <is>
          <t/>
        </is>
      </c>
      <c r="D1003" s="6" t="inlineStr">
        <is>
          <t/>
        </is>
      </c>
      <c r="E1003" s="6" t="inlineStr">
        <is>
          <t/>
        </is>
      </c>
      <c r="F1003" s="6" t="inlineStr">
        <is>
          <t/>
        </is>
      </c>
      <c r="G1003" s="6" t="inlineStr">
        <is>
          <t/>
        </is>
      </c>
    </row>
    <row r="1004">
      <c r="A1004" s="3" t="inlineStr">
        <is>
          <t>BK 100</t>
        </is>
      </c>
      <c r="B1004" s="2" t="inlineStr">
        <is>
          <t>Pár autoreproduktorov, 100 mm, dvojitý kónus, 4ohm, 90W</t>
        </is>
      </c>
      <c r="C1004" s="1" t="n">
        <v>14.99</v>
      </c>
      <c r="D1004" s="7" t="n">
        <f>HYPERLINK("https://www.somogyi.sk/product/par-autoreproduktorov-100-mm-dvojity-konus-4ohm-90w-bk-100-11828","https://www.somogyi.sk/product/par-autoreproduktorov-100-mm-dvojity-konus-4ohm-90w-bk-100-11828")</f>
        <v>0.0</v>
      </c>
      <c r="E1004" s="7" t="n">
        <f>HYPERLINK("https://www.somogyi.sk/data/img/product_main_images/small/11828.jpg","https://www.somogyi.sk/data/img/product_main_images/small/11828.jpg")</f>
        <v>0.0</v>
      </c>
      <c r="F1004" s="2" t="inlineStr">
        <is>
          <t>5999084900403</t>
        </is>
      </c>
      <c r="G1004" s="4" t="inlineStr">
        <is>
          <t xml:space="preserve"> • funkcia/prevedenie: autoreproduktor s dvojitým kónusom 
 • menovitý priemer reproduktora: Ø100 mm 
 • materiál kónusu: stredobasy: papier, výška: PEI 
 • impedancia reproduktora: 4 Ω 
 • zaťažiteľnosť reproduktora: 2 x 45 W 
 • frekvenčné pásmo: 55 - 19000 Hz 
 • citlivosť reproduktora: 85 dB 
 • balenie: pár</t>
        </is>
      </c>
    </row>
    <row r="1005">
      <c r="A1005" s="3" t="inlineStr">
        <is>
          <t>CX 504</t>
        </is>
      </c>
      <c r="B1005" s="2" t="inlineStr">
        <is>
          <t>Pár autoreproduktorov, 130 mm, 2 pásmový, 4 ohm, 150 W</t>
        </is>
      </c>
      <c r="C1005" s="1" t="n">
        <v>30.19</v>
      </c>
      <c r="D1005" s="7" t="n">
        <f>HYPERLINK("https://www.somogyi.sk/product/par-autoreproduktorov-130-mm-2-pasmovy-4-ohm-150-w-cx-504-13029","https://www.somogyi.sk/product/par-autoreproduktorov-130-mm-2-pasmovy-4-ohm-150-w-cx-504-13029")</f>
        <v>0.0</v>
      </c>
      <c r="E1005" s="7" t="n">
        <f>HYPERLINK("https://www.somogyi.sk/data/img/product_main_images/small/13029.jpg","https://www.somogyi.sk/data/img/product_main_images/small/13029.jpg")</f>
        <v>0.0</v>
      </c>
      <c r="F1005" s="2" t="inlineStr">
        <is>
          <t>5999084912109</t>
        </is>
      </c>
      <c r="G1005" s="4" t="inlineStr">
        <is>
          <t xml:space="preserve"> • funkcia/prevedenie: 2-pásmový autoreproduktor 
 • menovitý priemer reproduktora: stredobasy: Ø130 mm, výška: Ø30 mm 
 • materiál kónusu: polypropylén 
 • impedancia reproduktora: 4 Ω 
 • zaťažiteľnosť reproduktora: 2 x 75 W 
 • frekvenčné pásmo: 50 - 20000 Hz 
 • citlivosť reproduktora: 89 dB 
 • zabudovaná výhybka: áno 
 • mriežka na reproduktor: čiastočná 
 • balenie: pár</t>
        </is>
      </c>
    </row>
    <row r="1006">
      <c r="A1006" s="3" t="inlineStr">
        <is>
          <t>BK 165</t>
        </is>
      </c>
      <c r="B1006" s="2" t="inlineStr">
        <is>
          <t>Pár autoreproduktorov, 165 mm, dvojitý kónus, 4ohm, 150W</t>
        </is>
      </c>
      <c r="C1006" s="1" t="n">
        <v>22.99</v>
      </c>
      <c r="D1006" s="7" t="n">
        <f>HYPERLINK("https://www.somogyi.sk/product/par-autoreproduktorov-165-mm-dvojity-konus-4ohm-150w-bk-165-11834","https://www.somogyi.sk/product/par-autoreproduktorov-165-mm-dvojity-konus-4ohm-150w-bk-165-11834")</f>
        <v>0.0</v>
      </c>
      <c r="E1006" s="7" t="n">
        <f>HYPERLINK("https://www.somogyi.sk/data/img/product_main_images/small/11834.jpg","https://www.somogyi.sk/data/img/product_main_images/small/11834.jpg")</f>
        <v>0.0</v>
      </c>
      <c r="F1006" s="2" t="inlineStr">
        <is>
          <t>5999084900465</t>
        </is>
      </c>
      <c r="G1006" s="4" t="inlineStr">
        <is>
          <t xml:space="preserve"> • funkcia/prevedenie: autoreproduktor s dvojitým kónusom 
 • menovitý priemer reproduktora: Ø165 mm 
 • materiál kónusu: stredobasy: papier, výška: PEI 
 • impedancia reproduktora: 4 Ω 
 • zaťažiteľnosť reproduktora: 2 x 75 W 
 • frekvenčné pásmo: 45 - 19000 Hz 
 • citlivosť reproduktora: 86 dB 
 • balenie: pár</t>
        </is>
      </c>
    </row>
    <row r="1007">
      <c r="A1007" s="3" t="inlineStr">
        <is>
          <t>AHX 2030/BK</t>
        </is>
      </c>
      <c r="B1007" s="2" t="inlineStr">
        <is>
          <t>Basový reproduktor, kevlár, 200mm, 4ohm, 120W</t>
        </is>
      </c>
      <c r="C1007" s="1" t="n">
        <v>40.09</v>
      </c>
      <c r="D1007" s="7" t="n">
        <f>HYPERLINK("https://www.somogyi.sk/product/basovy-reproduktor-kevlar-200mm-4ohm-120w-ahx-2030-bk-8800","https://www.somogyi.sk/product/basovy-reproduktor-kevlar-200mm-4ohm-120w-ahx-2030-bk-8800")</f>
        <v>0.0</v>
      </c>
      <c r="E1007" s="7" t="n">
        <f>HYPERLINK("https://www.somogyi.sk/data/img/product_main_images/small/08800.jpg","https://www.somogyi.sk/data/img/product_main_images/small/08800.jpg")</f>
        <v>0.0</v>
      </c>
      <c r="F1007" s="2" t="inlineStr">
        <is>
          <t>5998312776827</t>
        </is>
      </c>
      <c r="G1007" s="4" t="inlineStr">
        <is>
          <t xml:space="preserve"> • funkcia/prevedenie: basový 
 • menovitý priemer reproduktora: 20 cm 
 • materiál kónusu: kevlár 
 • impedancia reproduktora: 4 Ω 
 • zaťažiteľnosť reproduktora: 120 / 80 W 
 • frekvenčné pásmo: 40 - 4000 Hz 
 • citlivosť reproduktora: 88 dB 
 • cievka: 1,5", 2 vrstvy 
 • teleso cievky: alu 
 • magnet: 30 Oz</t>
        </is>
      </c>
    </row>
    <row r="1008">
      <c r="A1008" s="3" t="inlineStr">
        <is>
          <t>WRX 310</t>
        </is>
      </c>
      <c r="B1008" s="2" t="inlineStr">
        <is>
          <t>Pár autoreproduktorov, 100mm, 3 pásmový, 4ohm, 140W</t>
        </is>
      </c>
      <c r="C1008" s="1" t="n">
        <v>40.89</v>
      </c>
      <c r="D1008" s="7" t="n">
        <f>HYPERLINK("https://www.somogyi.sk/product/par-autoreproduktorov-100mm-3-pasmovy-4ohm-140w-wrx-310-7981","https://www.somogyi.sk/product/par-autoreproduktorov-100mm-3-pasmovy-4ohm-140w-wrx-310-7981")</f>
        <v>0.0</v>
      </c>
      <c r="E1008" s="7" t="n">
        <f>HYPERLINK("https://www.somogyi.sk/data/img/product_main_images/small/07981.jpg","https://www.somogyi.sk/data/img/product_main_images/small/07981.jpg")</f>
        <v>0.0</v>
      </c>
      <c r="F1008" s="2" t="inlineStr">
        <is>
          <t>5998312769362</t>
        </is>
      </c>
      <c r="G1008" s="4" t="inlineStr">
        <is>
          <t xml:space="preserve"> • funkcia/prevedenie: 3-pásmový autoreproduktor 
 • menovitý priemer reproduktora: basový: Ø100 mm, stred: Ø30 mm, výška: Ø15 mm 
 • materiál kónusu: PEI 
 • impedancia reproduktora: 4 Ω 
 • zaťažiteľnosť reproduktora: 2 x 70 W 
 • frekvenčné pásmo: 60 - 20000 Hz 
 • citlivosť reproduktora: 86 dB 
 • kôš reproduktora: hliník 
 • zabudovaná výhybka: áno 
 • mriežka na reproduktor: áno 
 • balenie: pár</t>
        </is>
      </c>
    </row>
    <row r="1009">
      <c r="A1009" s="3" t="inlineStr">
        <is>
          <t>WRX 313</t>
        </is>
      </c>
      <c r="B1009" s="2" t="inlineStr">
        <is>
          <t>Pár autoreproduktorov, 130mm, 3 pásmový, 4ohm, 180W</t>
        </is>
      </c>
      <c r="C1009" s="1" t="n">
        <v>47.09</v>
      </c>
      <c r="D1009" s="7" t="n">
        <f>HYPERLINK("https://www.somogyi.sk/product/par-autoreproduktorov-130mm-3-pasmovy-4ohm-180w-wrx-313-7982","https://www.somogyi.sk/product/par-autoreproduktorov-130mm-3-pasmovy-4ohm-180w-wrx-313-7982")</f>
        <v>0.0</v>
      </c>
      <c r="E1009" s="7" t="n">
        <f>HYPERLINK("https://www.somogyi.sk/data/img/product_main_images/small/07982.jpg","https://www.somogyi.sk/data/img/product_main_images/small/07982.jpg")</f>
        <v>0.0</v>
      </c>
      <c r="F1009" s="2" t="inlineStr">
        <is>
          <t>5998312769379</t>
        </is>
      </c>
      <c r="G1009" s="4" t="inlineStr">
        <is>
          <t xml:space="preserve"> • funkcia/prevedenie: 3 pásmový autoreproduktor 
 • menovitý priemer reproduktora: Ø130 mm 
 • materiál kónusu: stredobas: 130 mm PEI kónus, stred: 30 mm mylar kalotový reproduktor, výškový: 15 mm piezo výškový reproduktor 
 • impedancia reproduktora: 4 Ω 
 • zaťažiteľnosť reproduktora: 2 x 90 W 
 • frekvenčné pásmo: 50 - 20000 Hz 
 • citlivosť reproduktora: 87 dB 
 • kôš reproduktora: hliník 
 • zabudovaná výhybka: áno 
 • mriežka na reproduktor: áno 
 • balenie: pár</t>
        </is>
      </c>
    </row>
    <row r="1010">
      <c r="A1010" s="3" t="inlineStr">
        <is>
          <t>CX 404</t>
        </is>
      </c>
      <c r="B1010" s="2" t="inlineStr">
        <is>
          <t>Pár autoreproduktorov, 100 mm, 2 pásmový, 4 ohm, 110 W</t>
        </is>
      </c>
      <c r="C1010" s="1" t="n">
        <v>25.19</v>
      </c>
      <c r="D1010" s="7" t="n">
        <f>HYPERLINK("https://www.somogyi.sk/product/par-autoreproduktorov-100-mm-2-pasmovy-4-ohm-110-w-cx-404-13028","https://www.somogyi.sk/product/par-autoreproduktorov-100-mm-2-pasmovy-4-ohm-110-w-cx-404-13028")</f>
        <v>0.0</v>
      </c>
      <c r="E1010" s="7" t="n">
        <f>HYPERLINK("https://www.somogyi.sk/data/img/product_main_images/small/13028.jpg","https://www.somogyi.sk/data/img/product_main_images/small/13028.jpg")</f>
        <v>0.0</v>
      </c>
      <c r="F1010" s="2" t="inlineStr">
        <is>
          <t>5999084912093</t>
        </is>
      </c>
      <c r="G1010" s="4" t="inlineStr">
        <is>
          <t xml:space="preserve"> • funkcia/prevedenie: 2-pásmový autoreproduktor 
 • menovitý priemer reproduktora: stredobasy: Ø100 mm, výška: Ø30 mm 
 • materiál kónusu: polypropylén 
 • impedancia reproduktora: 4 Ω 
 • zaťažiteľnosť reproduktora: 2 x 55 W 
 • frekvenčné pásmo: 55 - 20000 Hz 
 • citlivosť reproduktora: 88 dB 
 • zabudovaná výhybka: áno 
 • mriežka na reproduktor: čiastočná 
 • balenie: pár</t>
        </is>
      </c>
    </row>
    <row r="1011">
      <c r="A1011" s="3" t="inlineStr">
        <is>
          <t>CX 604</t>
        </is>
      </c>
      <c r="B1011" s="2" t="inlineStr">
        <is>
          <t>Pár autoreproduktorov, 165 mm, 2 pásmový, 4 ohm, 200 W</t>
        </is>
      </c>
      <c r="C1011" s="1" t="n">
        <v>33.59</v>
      </c>
      <c r="D1011" s="7" t="n">
        <f>HYPERLINK("https://www.somogyi.sk/product/par-autoreproduktorov-165-mm-2-pasmovy-4-ohm-200-w-cx-604-13030","https://www.somogyi.sk/product/par-autoreproduktorov-165-mm-2-pasmovy-4-ohm-200-w-cx-604-13030")</f>
        <v>0.0</v>
      </c>
      <c r="E1011" s="7" t="n">
        <f>HYPERLINK("https://www.somogyi.sk/data/img/product_main_images/small/13030.jpg","https://www.somogyi.sk/data/img/product_main_images/small/13030.jpg")</f>
        <v>0.0</v>
      </c>
      <c r="F1011" s="2" t="inlineStr">
        <is>
          <t>5999084912116</t>
        </is>
      </c>
      <c r="G1011" s="4" t="inlineStr">
        <is>
          <t xml:space="preserve"> • funkcia/prevedenie: 2-pásmový autoreproduktor 
 • menovitý priemer reproduktora: stredobasy: Ø165 mm, výška: Ø30 mm 
 • materiál kónusu: polypropylén 
 • impedancia reproduktora: 4 Ω 
 • zaťažiteľnosť reproduktora: 2 x 100 W 
 • frekvenčné pásmo: 45 - 20000 Hz 
 • citlivosť reproduktora: 90 dB 
 • zabudovaná výhybka: áno 
 • mriežka na reproduktor: čiastočná 
 • balenie: pár</t>
        </is>
      </c>
    </row>
    <row r="1012">
      <c r="A1012" s="3" t="inlineStr">
        <is>
          <t>BK 087</t>
        </is>
      </c>
      <c r="B1012" s="2" t="inlineStr">
        <is>
          <t>Pár autoreproduktorov, 87 mm, dvojitý kónus, 4ohm, 70W</t>
        </is>
      </c>
      <c r="C1012" s="1" t="n">
        <v>12.99</v>
      </c>
      <c r="D1012" s="7" t="n">
        <f>HYPERLINK("https://www.somogyi.sk/product/par-autoreproduktorov-87-mm-dvojity-konus-4ohm-70w-bk-087-11832","https://www.somogyi.sk/product/par-autoreproduktorov-87-mm-dvojity-konus-4ohm-70w-bk-087-11832")</f>
        <v>0.0</v>
      </c>
      <c r="E1012" s="7" t="n">
        <f>HYPERLINK("https://www.somogyi.sk/data/img/product_main_images/small/11832.jpg","https://www.somogyi.sk/data/img/product_main_images/small/11832.jpg")</f>
        <v>0.0</v>
      </c>
      <c r="F1012" s="2" t="inlineStr">
        <is>
          <t>5999084900441</t>
        </is>
      </c>
      <c r="G1012" s="4" t="inlineStr">
        <is>
          <t xml:space="preserve"> • funkcia/prevedenie: autoreproduktor s dvojitým kónusom 
 • menovitý priemer reproduktora: Ø87 mm 
 • materiál kónusu: stredobasy: papier, výška: PEI 
 • impedancia reproduktora: 4 Ω 
 • zaťažiteľnosť reproduktora: 2 x 35 W 
 • frekvenčné pásmo: 75 - 18500 Hz 
 • citlivosť reproduktora: 85 dB 
 • balenie: pár</t>
        </is>
      </c>
    </row>
    <row r="1013">
      <c r="A1013" s="3" t="inlineStr">
        <is>
          <t>BK 130</t>
        </is>
      </c>
      <c r="B1013" s="2" t="inlineStr">
        <is>
          <t>Pár autoreproduktorov, 130mm, dvojitý kónus, 4ohm, 100W</t>
        </is>
      </c>
      <c r="C1013" s="1" t="n">
        <v>17.49</v>
      </c>
      <c r="D1013" s="7" t="n">
        <f>HYPERLINK("https://www.somogyi.sk/product/par-autoreproduktorov-130mm-dvojity-konus-4ohm-100w-bk-130-11833","https://www.somogyi.sk/product/par-autoreproduktorov-130mm-dvojity-konus-4ohm-100w-bk-130-11833")</f>
        <v>0.0</v>
      </c>
      <c r="E1013" s="7" t="n">
        <f>HYPERLINK("https://www.somogyi.sk/data/img/product_main_images/small/11833.jpg","https://www.somogyi.sk/data/img/product_main_images/small/11833.jpg")</f>
        <v>0.0</v>
      </c>
      <c r="F1013" s="2" t="inlineStr">
        <is>
          <t>5999084900458</t>
        </is>
      </c>
      <c r="G1013" s="4" t="inlineStr">
        <is>
          <t xml:space="preserve"> • funkcia/prevedenie: autoreproduktor s dvojitým kónusom 
 • menovitý priemer reproduktora: Ø130 mm 
 • materiál kónusu: stredobasy: papier, výška: PEI 
 • impedancia reproduktora: 4 Ω 
 • zaťažiteľnosť reproduktora: 2 x 50 W 
 • frekvenčné pásmo: 50 - 19000 Hz 
 • citlivosť reproduktora: 86 dB 
 • balenie: pár</t>
        </is>
      </c>
    </row>
    <row r="1014">
      <c r="A1014" s="3" t="inlineStr">
        <is>
          <t>WRX 316</t>
        </is>
      </c>
      <c r="B1014" s="2" t="inlineStr">
        <is>
          <t>Pár autoreproduktorov, 165mm, 3 pásmový, 4ohm, 220W</t>
        </is>
      </c>
      <c r="C1014" s="1" t="n">
        <v>55.69</v>
      </c>
      <c r="D1014" s="7" t="n">
        <f>HYPERLINK("https://www.somogyi.sk/product/par-autoreproduktorov-165mm-3-pasmovy-4ohm-220w-wrx-316-7983","https://www.somogyi.sk/product/par-autoreproduktorov-165mm-3-pasmovy-4ohm-220w-wrx-316-7983")</f>
        <v>0.0</v>
      </c>
      <c r="E1014" s="7" t="n">
        <f>HYPERLINK("https://www.somogyi.sk/data/img/product_main_images/small/07983.jpg","https://www.somogyi.sk/data/img/product_main_images/small/07983.jpg")</f>
        <v>0.0</v>
      </c>
      <c r="F1014" s="2" t="inlineStr">
        <is>
          <t>5998312769386</t>
        </is>
      </c>
      <c r="G1014" s="4" t="inlineStr">
        <is>
          <t xml:space="preserve"> • funkcia/prevedenie: 3-pásmový autoreproduktor 
 • menovitý priemer reproduktora: basový: Ø165 mm, stred: Ø30 mm, výška: Ø15 mm 
 • materiál kónusu: PEI 
 • impedancia reproduktora: 4 Ω 
 • zaťažiteľnosť reproduktora: 2 x 110 W 
 • frekvenčné pásmo: 45 - 20000 Hz 
 • citlivosť reproduktora: 88 dB 
 • kôš reproduktora: hliník 
 • zabudovaná výhybka: áno 
 • mriežka na reproduktor: áno 
 • balenie: pár</t>
        </is>
      </c>
    </row>
    <row r="1015">
      <c r="A1015" s="3" t="inlineStr">
        <is>
          <t>AHX 1620/BK</t>
        </is>
      </c>
      <c r="B1015" s="2" t="inlineStr">
        <is>
          <t>Basový reproduktor, kevlár, 165mm, 4ohm, 60W</t>
        </is>
      </c>
      <c r="C1015" s="1" t="n">
        <v>24.29</v>
      </c>
      <c r="D1015" s="7" t="n">
        <f>HYPERLINK("https://www.somogyi.sk/product/basovy-reproduktor-kevlar-165mm-4ohm-60w-ahx-1620-bk-8796","https://www.somogyi.sk/product/basovy-reproduktor-kevlar-165mm-4ohm-60w-ahx-1620-bk-8796")</f>
        <v>0.0</v>
      </c>
      <c r="E1015" s="7" t="n">
        <f>HYPERLINK("https://www.somogyi.sk/data/img/product_main_images/small/08796.jpg","https://www.somogyi.sk/data/img/product_main_images/small/08796.jpg")</f>
        <v>0.0</v>
      </c>
      <c r="F1015" s="2" t="inlineStr">
        <is>
          <t>5998312776780</t>
        </is>
      </c>
      <c r="G1015" s="4" t="inlineStr">
        <is>
          <t xml:space="preserve"> • funkcia/prevedenie: basový 
 • menovitý priemer reproduktora: 16 cm 
 • materiál kónusu: kevlár 
 • impedancia reproduktora: 4 Ω 
 • zaťažiteľnosť reproduktora: 60 / 40 W 
 • frekvenčné pásmo: 50 - 7000 Hz 
 • citlivosť reproduktora: 88 dB 
 • cievka: 1", 2 vrstvy 
 • teleso cievky: alu 
 • magnet: 20 Oz</t>
        </is>
      </c>
    </row>
    <row r="1016">
      <c r="A1016" s="6" t="inlineStr">
        <is>
          <t xml:space="preserve">   Zvuková technika / Príslušenstvo k auto hi-fi</t>
        </is>
      </c>
      <c r="B1016" s="6" t="inlineStr">
        <is>
          <t/>
        </is>
      </c>
      <c r="C1016" s="6" t="inlineStr">
        <is>
          <t/>
        </is>
      </c>
      <c r="D1016" s="6" t="inlineStr">
        <is>
          <t/>
        </is>
      </c>
      <c r="E1016" s="6" t="inlineStr">
        <is>
          <t/>
        </is>
      </c>
      <c r="F1016" s="6" t="inlineStr">
        <is>
          <t/>
        </is>
      </c>
      <c r="G1016" s="6" t="inlineStr">
        <is>
          <t/>
        </is>
      </c>
    </row>
    <row r="1017">
      <c r="A1017" s="3" t="inlineStr">
        <is>
          <t>HVS 14</t>
        </is>
      </c>
      <c r="B1017" s="2" t="inlineStr">
        <is>
          <t>Výhybka</t>
        </is>
      </c>
      <c r="C1017" s="1" t="n">
        <v>19.49</v>
      </c>
      <c r="D1017" s="7" t="n">
        <f>HYPERLINK("https://www.somogyi.sk/product/vyhybka-hvs-14-4185","https://www.somogyi.sk/product/vyhybka-hvs-14-4185")</f>
        <v>0.0</v>
      </c>
      <c r="E1017" s="7" t="n">
        <f>HYPERLINK("https://www.somogyi.sk/data/img/product_main_images/small/04185.jpg","https://www.somogyi.sk/data/img/product_main_images/small/04185.jpg")</f>
        <v>0.0</v>
      </c>
      <c r="F1017" s="2" t="inlineStr">
        <is>
          <t>5998312737224</t>
        </is>
      </c>
      <c r="G1017" s="4" t="inlineStr">
        <is>
          <t xml:space="preserve"> • zaťažiteľnosť: 300 W 
 • deliaci kmitočet: 120 / 160 Hz 
 • strmosť: 12 dB / oktáv 
 • prípojka: háčik na upevnenie 
 • rozmery: 90 x 45 x 70 mm 
 • impedancia reproduktora: 4 / 8 Ohm</t>
        </is>
      </c>
    </row>
    <row r="1018">
      <c r="A1018" s="3" t="inlineStr">
        <is>
          <t>HV 621</t>
        </is>
      </c>
      <c r="B1018" s="2" t="inlineStr">
        <is>
          <t>Výhybka, 2 pásmová, 4ohm, 200W</t>
        </is>
      </c>
      <c r="C1018" s="1" t="n">
        <v>10.89</v>
      </c>
      <c r="D1018" s="7" t="n">
        <f>HYPERLINK("https://www.somogyi.sk/product/vyhybka-2-pasmova-4ohm-200w-hv-621-3038","https://www.somogyi.sk/product/vyhybka-2-pasmova-4ohm-200w-hv-621-3038")</f>
        <v>0.0</v>
      </c>
      <c r="E1018" s="7" t="n">
        <f>HYPERLINK("https://www.somogyi.sk/data/img/product_main_images/small/03038.jpg","https://www.somogyi.sk/data/img/product_main_images/small/03038.jpg")</f>
        <v>0.0</v>
      </c>
      <c r="F1018" s="2" t="inlineStr">
        <is>
          <t>5998312733622</t>
        </is>
      </c>
      <c r="G1018" s="4" t="inlineStr">
        <is>
          <t xml:space="preserve"> • zaťažiteľnosť: 200 W 
 • výstupná impedancia: 4 Ω 
 • deliaci kmitočet: 2500 Hz 
 • strmosť: 6 dB / oktáv 
 • prípojka: pozlátená 
 • rozmery: 35 x 65 x 120 mm</t>
        </is>
      </c>
    </row>
    <row r="1019">
      <c r="A1019" s="3" t="inlineStr">
        <is>
          <t>HV 623</t>
        </is>
      </c>
      <c r="B1019" s="2" t="inlineStr">
        <is>
          <t>Výhybka, 3 pásmová, 4ohm, 200W</t>
        </is>
      </c>
      <c r="C1019" s="1" t="n">
        <v>11.49</v>
      </c>
      <c r="D1019" s="7" t="n">
        <f>HYPERLINK("https://www.somogyi.sk/product/vyhybka-3-pasmova-4ohm-200w-hv-623-3039","https://www.somogyi.sk/product/vyhybka-3-pasmova-4ohm-200w-hv-623-3039")</f>
        <v>0.0</v>
      </c>
      <c r="E1019" s="7" t="n">
        <f>HYPERLINK("https://www.somogyi.sk/data/img/product_main_images/small/03039.jpg","https://www.somogyi.sk/data/img/product_main_images/small/03039.jpg")</f>
        <v>0.0</v>
      </c>
      <c r="F1019" s="2" t="inlineStr">
        <is>
          <t>5998312733639</t>
        </is>
      </c>
      <c r="G1019" s="4" t="inlineStr">
        <is>
          <t xml:space="preserve"> • zaťažiteľnosť: 200 W 
 • výstupná impedancia: 4 Ω 
 • deliaci kmitočet: 700 Hz / 5000 Hz 
 • strmosť: 6 dB / oktáv 
 • prípojka: pozlátená 
 • rozmery: 35 x 65 x 120 mm</t>
        </is>
      </c>
    </row>
    <row r="1020">
      <c r="A1020" s="3" t="inlineStr">
        <is>
          <t>SA 001</t>
        </is>
      </c>
      <c r="B1020" s="2" t="inlineStr">
        <is>
          <t xml:space="preserve">Úzkopásmový menič </t>
        </is>
      </c>
      <c r="C1020" s="1" t="n">
        <v>14.39</v>
      </c>
      <c r="D1020" s="7" t="n">
        <f>HYPERLINK("https://www.somogyi.sk/product/uzkopasmovy-menic-sa-001-4720","https://www.somogyi.sk/product/uzkopasmovy-menic-sa-001-4720")</f>
        <v>0.0</v>
      </c>
      <c r="E1020" s="7" t="n">
        <f>HYPERLINK("https://www.somogyi.sk/data/img/product_main_images/small/04720.jpg","https://www.somogyi.sk/data/img/product_main_images/small/04720.jpg")</f>
        <v>0.0</v>
      </c>
      <c r="F1020" s="2" t="inlineStr">
        <is>
          <t>5998312741658</t>
        </is>
      </c>
      <c r="G1020" s="4" t="inlineStr">
        <is>
          <t xml:space="preserve"> • audio vstup: vysoko úrovňový 
 • audio výstup: 2 x RCA 
 • vstupný výkon: max. 2 x 50 W 
 • frekvenčné pásmo: 20 - 35000 Hz 
 • max. tlmenie: max. 60 dB 
 • výstupná impedancia: 10 kΩ 
 • rozmery: 90 x 65 x 27 mm</t>
        </is>
      </c>
    </row>
    <row r="1021">
      <c r="A1021" s="3" t="inlineStr">
        <is>
          <t>SA 333</t>
        </is>
      </c>
      <c r="B1021" s="2" t="inlineStr">
        <is>
          <t>Set napájacích káblov</t>
        </is>
      </c>
      <c r="C1021" s="1" t="n">
        <v>36.79</v>
      </c>
      <c r="D1021" s="7" t="n">
        <f>HYPERLINK("https://www.somogyi.sk/product/set-napajacich-kablov-sa-333-15305","https://www.somogyi.sk/product/set-napajacich-kablov-sa-333-15305")</f>
        <v>0.0</v>
      </c>
      <c r="E1021" s="7" t="n">
        <f>HYPERLINK("https://www.somogyi.sk/data/img/product_main_images/small/15305.jpg","https://www.somogyi.sk/data/img/product_main_images/small/15305.jpg")</f>
        <v>0.0</v>
      </c>
      <c r="F1021" s="2" t="inlineStr">
        <is>
          <t>5999084933395</t>
        </is>
      </c>
      <c r="G1021" s="4" t="inlineStr">
        <is>
          <t xml:space="preserve"> • zaťažiteľnosť: 80 A  
 • počet príslušenstva: 42 ks 
 • audio pripojovací kábel: 2 x RCA - 2 x RCA (2 x Ø4 mm, OFC) kábel; 5,2 m 
 • červený napájací kábel: 20 mm²; 5,2 m; modrá 
 • čierny napájací kábel: 20 mm²; 0,9 m; čierna 
 • reprokábel: 2 x 0,75 mm²; 6,1 m; modrá-čierna 
 • objímka poistky: k AGU, Ø10 x 38 mm poistke, pozlátená, aranyozott, vodotesná 
 • poistka: Ø10 x 38 mm, 80 A 
 • vidlicový káblový konektor: pre 2 ks 20 mm² kábel, pre Ø5 mm skrutku + 2 ks izolácie / pre 5 ks Ø4 mm skrutiek + 5 ks izolácií 
 • prstencový káblový konektor: pre 2 ks 20 mm² kábel, pre Ø8 mm skrutku + 2 ks izolácie 
 • svorka: 4 x pre 6,3; 1-2 mm² kábel + 4 ks izolácie 
 • príslušenstvo: 8 ks káblových sťahovacích pások (2 x 150 mm) / ohybná trubka (Ø13 mm x 1,2 m) / kábel (1 mm²; modrá; 5,2 m)</t>
        </is>
      </c>
    </row>
    <row r="1022">
      <c r="A1022" s="6" t="inlineStr">
        <is>
          <t xml:space="preserve">   Zvuková technika / Rádio</t>
        </is>
      </c>
      <c r="B1022" s="6" t="inlineStr">
        <is>
          <t/>
        </is>
      </c>
      <c r="C1022" s="6" t="inlineStr">
        <is>
          <t/>
        </is>
      </c>
      <c r="D1022" s="6" t="inlineStr">
        <is>
          <t/>
        </is>
      </c>
      <c r="E1022" s="6" t="inlineStr">
        <is>
          <t/>
        </is>
      </c>
      <c r="F1022" s="6" t="inlineStr">
        <is>
          <t/>
        </is>
      </c>
      <c r="G1022" s="6" t="inlineStr">
        <is>
          <t/>
        </is>
      </c>
    </row>
    <row r="1023">
      <c r="A1023" s="3" t="inlineStr">
        <is>
          <t>RPR4LCD</t>
        </is>
      </c>
      <c r="B1023" s="2" t="inlineStr">
        <is>
          <t>Prenosné rádio, LCD, s budíkom</t>
        </is>
      </c>
      <c r="C1023" s="1" t="n">
        <v>34.49</v>
      </c>
      <c r="D1023" s="7" t="n">
        <f>HYPERLINK("https://www.somogyi.sk/product/prenosne-radio-lcd-s-budikom-rpr4lcd-18512","https://www.somogyi.sk/product/prenosne-radio-lcd-s-budikom-rpr4lcd-18512")</f>
        <v>0.0</v>
      </c>
      <c r="E1023" s="7" t="n">
        <f>HYPERLINK("https://www.somogyi.sk/data/img/product_main_images/small/18512.jpg","https://www.somogyi.sk/data/img/product_main_images/small/18512.jpg")</f>
        <v>0.0</v>
      </c>
      <c r="F1023" s="2" t="inlineStr">
        <is>
          <t>5999084965303</t>
        </is>
      </c>
      <c r="G1023" s="4" t="inlineStr">
        <is>
          <t xml:space="preserve"> • rádiofrekvenčné pásmo: AM / FM (automatické ladenie, 2x40 programových miest) 
 •  
 • automatické vypnutie: automatické časované vypnutie 
 • digitálne hodiny: áno 
 • budenie: budík s bip-bip zvukom • opakovanie budíka (režim odloženia) 
 • napájanie: napájanie batériou (4xAA batéria, nie sú súčasťou balenia) / napájanie USB-C (kábel a adaptér nie sú súčasťou balenia) 
 • pripojovacia zásuvka pre slúchadlá: Ø3,5 mm, jack 
 • rozmery: 184 x 113 x 58 mm 
 • hmotnosť: 330 g 
 • opcionálne príslušenstvo: odporúčaný adaptér/pripojovací kábel: SA 24USB, SA 50USB, USBC 1</t>
        </is>
      </c>
    </row>
    <row r="1024">
      <c r="A1024" s="3" t="inlineStr">
        <is>
          <t>RPC 4</t>
        </is>
      </c>
      <c r="B1024" s="2" t="inlineStr">
        <is>
          <t>Prenostné rádiio, 2 pásmové</t>
        </is>
      </c>
      <c r="C1024" s="1" t="n">
        <v>12.09</v>
      </c>
      <c r="D1024" s="7" t="n">
        <f>HYPERLINK("https://www.somogyi.sk/product/prenostne-radiio-2-pasmove-rpc-4-17091","https://www.somogyi.sk/product/prenostne-radiio-2-pasmove-rpc-4-17091")</f>
        <v>0.0</v>
      </c>
      <c r="E1024" s="7" t="n">
        <f>HYPERLINK("https://www.somogyi.sk/data/img/product_main_images/small/17091.jpg","https://www.somogyi.sk/data/img/product_main_images/small/17091.jpg")</f>
        <v>0.0</v>
      </c>
      <c r="F1024" s="2" t="inlineStr">
        <is>
          <t>5999084951238</t>
        </is>
      </c>
      <c r="G1024" s="4" t="inlineStr">
        <is>
          <t xml:space="preserve"> • rádiofrekvenčné pásmo: AM / FM 
 • Zdôraznená charakteristika: LED kontrolka presného ladenia 
 • digitálne hodiny: nie 
 • budenie: nie 
 • napájanie: 2 x AA  batéria (nie je príslušenstvom) 
 • pripojovacia zásuvka pre slúchadlá: Ø3,5 mm jack 
 • rozmery: 69 mm x 118 mm x 30 mm 
 • hmotnosť: 110 g</t>
        </is>
      </c>
    </row>
    <row r="1025">
      <c r="A1025" s="3" t="inlineStr">
        <is>
          <t>RPH 2</t>
        </is>
      </c>
      <c r="B1025" s="2" t="inlineStr">
        <is>
          <t>Solárne hybridné rádio, BT/USB/SD</t>
        </is>
      </c>
      <c r="C1025" s="1" t="n">
        <v>59.59</v>
      </c>
      <c r="D1025" s="7" t="n">
        <f>HYPERLINK("https://www.somogyi.sk/product/solarne-hybridne-radio-bt-usb-sd-rph-2-18259","https://www.somogyi.sk/product/solarne-hybridne-radio-bt-usb-sd-rph-2-18259")</f>
        <v>0.0</v>
      </c>
      <c r="E1025" s="7" t="n">
        <f>HYPERLINK("https://www.somogyi.sk/data/img/product_main_images/small/18259.jpg","https://www.somogyi.sk/data/img/product_main_images/small/18259.jpg")</f>
        <v>0.0</v>
      </c>
      <c r="F1025" s="2" t="inlineStr">
        <is>
          <t>5999084962814</t>
        </is>
      </c>
      <c r="G1025" s="4" t="inlineStr">
        <is>
          <t xml:space="preserve"> • rádiofrekvenčné pásmo: AM / FM / WB 
 • bezdrôtové BT spojenie: v5.0 / max.10 m • Bluetooth 2.402-2.480 GHz ERP ≤2.5 mW 
 • pripojiteľné zariadenie: USB/microSD (FAT32, max.64 GB) 
 • prehrávateľné formáty: MP3 
 • funkcia prehrávania hudby: prehrávanie, pauza, krokovanie, rýchle vyhľadávanie 
 • N/A: USB: ~3h 
 • frekvenčné pásmo: 300 - 20.000 Hz 
 • napájanie: zabudovaný akumulátor 
 • pripojovacia zásuvka pre slúchadlá: Ø3,5 mm jack (mono) 
 • rozmery: 160 x 80 x 66 mm 
 • hmotnosť: 400 g 
 • príslušenstvo: USB-C nabíjací kábel</t>
        </is>
      </c>
    </row>
    <row r="1026">
      <c r="A1026" s="3" t="inlineStr">
        <is>
          <t>INR 3000</t>
        </is>
      </c>
      <c r="B1026" s="2" t="inlineStr">
        <is>
          <t>Internetové rádio</t>
        </is>
      </c>
      <c r="C1026" s="1" t="n">
        <v>73.49</v>
      </c>
      <c r="D1026" s="7" t="n">
        <f>HYPERLINK("https://www.somogyi.sk/product/internetove-radio-inr-3000-17521","https://www.somogyi.sk/product/internetove-radio-inr-3000-17521")</f>
        <v>0.0</v>
      </c>
      <c r="E1026" s="7" t="n">
        <f>HYPERLINK("https://www.somogyi.sk/data/img/product_main_images/small/17521.jpg","https://www.somogyi.sk/data/img/product_main_images/small/17521.jpg")</f>
        <v>0.0</v>
      </c>
      <c r="F1026" s="2" t="inlineStr">
        <is>
          <t>5999084955434</t>
        </is>
      </c>
      <c r="G1026" s="4" t="inlineStr">
        <is>
          <t xml:space="preserve"> • rádiofrekvenčné pásmo: FM RDS 
 • Zdôraznená charakteristika: Prenosný multimediálny prehrávač 4v1 • internetové svetové rádio • bezdrôtové BT pripojenie • sieťová hudobná knižnica Media Center • 6,1 cm farebná TFT LCD obrazovka • časovač spánku • štýly EQ, 3D a vlastné nastavenie EQ • zoznamy rádií kontinentov a krajín • viac ako 23 000 rozhlasových staníc • zoznam obľúbených staníc • ovládanie z PC alebo mobilného prehliadača • programy je možné pridávať aj manuálne • možnosť pripojenia k aktívnemu reproboxu, zosilňovaču • IN pripojenie bezdrôtové • WiFi pripojenie 802.11b/g/n (2.4) • UPnP/DLNA kompatibilné zdieľanie súborov • 2 W reproduktor s hudobným zvukom • predpokladaná doba nabíjania / prevádzková doba: 3,5 h / 11 h • príslušenstvo: nabíjací kábel USB-C, ~1,0 m 
 • bezdrôtové BT spojenie: v4.2 / max.10 m • Bluetooth 2.402-2.480 GHz ERP ≤2.5 mW 
 • digitálne hodiny: áno 
 • napájanie: zabudovaný Li-ion akumulátor (3,7 V / 2000 mAh) 
 • pripojovacia zásuvka pre slúchadlá: Ø3,5 mm jack 
 • rozmery: 160 x 93 x 40 mm 
 • hmotnosť: 260 g 
 • zásuvka pre sieťový adaptér: áno</t>
        </is>
      </c>
    </row>
    <row r="1027">
      <c r="A1027" s="3" t="inlineStr">
        <is>
          <t>INR 5000/BK</t>
        </is>
      </c>
      <c r="B1027" s="2" t="inlineStr">
        <is>
          <t>Internetové rádio, 5in1, čierna</t>
        </is>
      </c>
      <c r="C1027" s="1" t="n">
        <v>141.9</v>
      </c>
      <c r="D1027" s="7" t="n">
        <f>HYPERLINK("https://www.somogyi.sk/product/internetove-radio-5in1-cierna-inr-5000-bk-17033","https://www.somogyi.sk/product/internetove-radio-5in1-cierna-inr-5000-bk-17033")</f>
        <v>0.0</v>
      </c>
      <c r="E1027" s="7" t="n">
        <f>HYPERLINK("https://www.somogyi.sk/data/img/product_main_images/small/17033.jpg","https://www.somogyi.sk/data/img/product_main_images/small/17033.jpg")</f>
        <v>0.0</v>
      </c>
      <c r="F1027" s="2" t="inlineStr">
        <is>
          <t>5999084950651</t>
        </is>
      </c>
      <c r="G1027" s="4" t="inlineStr">
        <is>
          <t xml:space="preserve"> • rádiofrekvenčné pásmo: DAB /DAB / FM RDS 
 • displej: 6,1 cm farebný TFT LCD displej 
 •  
 • bezdrôtové BT spojenie: v4.2 / max.10 m • Bluetooth 2.402-2.480 GHz ERP ≤2.5 mW 
 • prehrávateľné formáty: MP3, AAC, AAC , FLAC 
 • EQ nastavenia: áno 
 • priemer reproduktora: 2 x Ø75 mm 
 • digitálne hodiny: áno 
 • budenie: áno 
 • výkon: 2 x 5 W 
 • frekvenčné pásmo: 80 - 20000 Hz 
 • napájanie: adaptér 
 • audio vstup: Ø3,5 mm jack 
 • audio výstup: Ø3,5 mm jack 
 • pripojovacia zásuvka pre slúchadlá: Ø3,5 mm jack 
 • rozmery: 295 x 120 x 160 mm 
 • hmotnosť: 1,6 kg 
 • zásuvka pre sieťový adaptér: áno</t>
        </is>
      </c>
    </row>
    <row r="1028">
      <c r="A1028" s="3" t="inlineStr">
        <is>
          <t>RPR 3LCD</t>
        </is>
      </c>
      <c r="B1028" s="2" t="inlineStr">
        <is>
          <t>Prenosné rádio, 3-pásmové, LCD</t>
        </is>
      </c>
      <c r="C1028" s="1" t="n">
        <v>43.79</v>
      </c>
      <c r="D1028" s="7" t="n">
        <f>HYPERLINK("https://www.somogyi.sk/product/prenosne-radio-3-pasmove-lcd-rpr-3lcd-16184","https://www.somogyi.sk/product/prenosne-radio-3-pasmove-lcd-rpr-3lcd-16184")</f>
        <v>0.0</v>
      </c>
      <c r="E1028" s="7" t="n">
        <f>HYPERLINK("https://www.somogyi.sk/data/img/product_main_images/small/16184.jpg","https://www.somogyi.sk/data/img/product_main_images/small/16184.jpg")</f>
        <v>0.0</v>
      </c>
      <c r="F1028" s="2" t="inlineStr">
        <is>
          <t>5999084942168</t>
        </is>
      </c>
      <c r="G1028" s="4" t="inlineStr">
        <is>
          <t xml:space="preserve"> • rádiofrekvenčné pásmo: AM-FM-SW 
 • Zdôraznená charakteristika: zvýšená citlivosť 
 • digitálne hodiny: LCD hodiny s modrým podsvietením 
 • budenie: budenie rádiom alebo signálom bip-bip 
 • pripojovacia zásuvka pre slúchadlá: Ø3,5 mm jack 
 • rozmery: 235 x 120 x 50 mm 
 • hmotnosť: 595 g</t>
        </is>
      </c>
    </row>
    <row r="1029">
      <c r="A1029" s="3" t="inlineStr">
        <is>
          <t>RPC5</t>
        </is>
      </c>
      <c r="B1029" s="2" t="inlineStr">
        <is>
          <t>Prenosné rádio</t>
        </is>
      </c>
      <c r="C1029" s="1" t="n">
        <v>12.39</v>
      </c>
      <c r="D1029" s="7" t="n">
        <f>HYPERLINK("https://www.somogyi.sk/product/prenosne-radio-rpc5-18846","https://www.somogyi.sk/product/prenosne-radio-rpc5-18846")</f>
        <v>0.0</v>
      </c>
      <c r="E1029" s="7" t="n">
        <f>HYPERLINK("https://www.somogyi.sk/data/img/product_main_images/small/18846.jpg","https://www.somogyi.sk/data/img/product_main_images/small/18846.jpg")</f>
        <v>0.0</v>
      </c>
      <c r="F1029" s="2" t="inlineStr">
        <is>
          <t>5999084968526</t>
        </is>
      </c>
      <c r="G1029" s="4" t="inlineStr">
        <is>
          <t xml:space="preserve"> • rádiofrekvenčné pásmo: AM / FM 
 • priemer reproduktora: Ø57 mm 
 • frekvenčné pásmo: 290 - 18.000 Hz 
 • napájanie: 2 x 1,5 V (AAA) batéria, nie je príslušenstvom 
 • pripojovacia zásuvka pre slúchadlá: Ø3,5 mm jack 
 • rozmery: 120 x 68 x 30 mm 
 • hmotnosť: 99,2 g 
 • príslušenstvo: remienok na zápästie</t>
        </is>
      </c>
    </row>
    <row r="1030">
      <c r="A1030" s="3" t="inlineStr">
        <is>
          <t>RPH 1</t>
        </is>
      </c>
      <c r="B1030" s="2" t="inlineStr">
        <is>
          <t>Solárne hybridné rádio, BT/USB/SD</t>
        </is>
      </c>
      <c r="C1030" s="1" t="n">
        <v>20.19</v>
      </c>
      <c r="D1030" s="7" t="n">
        <f>HYPERLINK("https://www.somogyi.sk/product/solarne-hybridne-radio-bt-usb-sd-rph-1-18253","https://www.somogyi.sk/product/solarne-hybridne-radio-bt-usb-sd-rph-1-18253")</f>
        <v>0.0</v>
      </c>
      <c r="E1030" s="7" t="n">
        <f>HYPERLINK("https://www.somogyi.sk/data/img/product_main_images/small/18253.jpg","https://www.somogyi.sk/data/img/product_main_images/small/18253.jpg")</f>
        <v>0.0</v>
      </c>
      <c r="F1030" s="2" t="inlineStr">
        <is>
          <t>5999084962753</t>
        </is>
      </c>
      <c r="G1030" s="4" t="inlineStr">
        <is>
          <t xml:space="preserve"> • rádiofrekvenčné pásmo: AM / FM / SW 
 • bezdrôtové BT spojenie: v5.0 / TWS / max.10 m • Bluetooth 2.402-2.480 GHz ERP ≤2.5 mW 
 • pripojiteľné zariadenie: USB/microSD (FAT32, max.32 GB) 
 • prehrávateľné formáty: MP3 / WMA / WAV 
 • funkcia prehrávania hudby: prehrávanie, pauza, krokovanie, rýchle vyhľadávanie 
 • priemer reproduktora: Ø57 mm 
 • N/A: ~2.5 h 
 • frekvenčné pásmo: 280 - 18.000 Hz 
 • napájanie: vymeniteľný 18650 akumulátor 
 • pripojovacia zásuvka pre slúchadlá: Ø3,5 mm, jack (mono) 
 • hmotnosť: 270 g 
 • čas prevádzky: ~11 h 
 •  
 • frekvenčný rozsah: 280 - 18.000 Hz</t>
        </is>
      </c>
    </row>
    <row r="1031">
      <c r="A1031" s="3" t="inlineStr">
        <is>
          <t>RPR 8</t>
        </is>
      </c>
      <c r="B1031" s="2" t="inlineStr">
        <is>
          <t>Prenosné rádio, 3-pásmové, AC/DC</t>
        </is>
      </c>
      <c r="C1031" s="1" t="n">
        <v>25.29</v>
      </c>
      <c r="D1031" s="7" t="n">
        <f>HYPERLINK("https://www.somogyi.sk/product/prenosne-radio-3-pasmove-ac-dc-rpr-8-18252","https://www.somogyi.sk/product/prenosne-radio-3-pasmove-ac-dc-rpr-8-18252")</f>
        <v>0.0</v>
      </c>
      <c r="E1031" s="7" t="n">
        <f>HYPERLINK("https://www.somogyi.sk/data/img/product_main_images/small/18252.jpg","https://www.somogyi.sk/data/img/product_main_images/small/18252.jpg")</f>
        <v>0.0</v>
      </c>
      <c r="F1031" s="2" t="inlineStr">
        <is>
          <t>5999084962746</t>
        </is>
      </c>
      <c r="G1031" s="4" t="inlineStr">
        <is>
          <t xml:space="preserve"> • rádiofrekvenčné pásmo: AM / FM / SW 
 • priemer reproduktora: ∅89 mm (3.5”) 
 • pripojovacia zásuvka pre slúchadlá: ∅3,5 mm, mono 
 • rozmery: 210 x 115/153 x 70 mm 
 • hmotnosť: 560 g 
 • frekvenčný rozsah: 250 - 19.000 Hz</t>
        </is>
      </c>
    </row>
    <row r="1032">
      <c r="A1032" s="3" t="inlineStr">
        <is>
          <t>TR-9202</t>
        </is>
      </c>
      <c r="B1032" s="2" t="inlineStr">
        <is>
          <t>Prenosné rádio</t>
        </is>
      </c>
      <c r="C1032" s="1" t="n">
        <v>23.99</v>
      </c>
      <c r="D1032" s="7" t="n">
        <f>HYPERLINK("https://www.somogyi.sk/product/prenosne-radio-tr-9202-11948","https://www.somogyi.sk/product/prenosne-radio-tr-9202-11948")</f>
        <v>0.0</v>
      </c>
      <c r="E1032" s="7" t="n">
        <f>HYPERLINK("https://www.somogyi.sk/data/img/product_main_images/small/11948.jpg","https://www.somogyi.sk/data/img/product_main_images/small/11948.jpg")</f>
        <v>0.0</v>
      </c>
      <c r="F1032" s="2" t="inlineStr">
        <is>
          <t>5998777301350</t>
        </is>
      </c>
      <c r="G1032" s="4" t="inlineStr">
        <is>
          <t xml:space="preserve"> • rádiofrekvenčné pásmo: AM / FM 
 • LED kontrolka prevádzky: nie 
 • digitálne hodiny: nie 
 • budenie: nie 
 • napájanie: 230 V~ / 50 Hz alebo batérie 
 • pripojovacia zásuvka pre slúchadlá: Ø3,5 mm, jack 
 • rozmery: 237 x 161 x 74 mm 
 • zásuvka pre sieťový adaptér: nie</t>
        </is>
      </c>
    </row>
    <row r="1033">
      <c r="A1033" s="6" t="inlineStr">
        <is>
          <t xml:space="preserve">   Zvuková technika / Reprobox</t>
        </is>
      </c>
      <c r="B1033" s="6" t="inlineStr">
        <is>
          <t/>
        </is>
      </c>
      <c r="C1033" s="6" t="inlineStr">
        <is>
          <t/>
        </is>
      </c>
      <c r="D1033" s="6" t="inlineStr">
        <is>
          <t/>
        </is>
      </c>
      <c r="E1033" s="6" t="inlineStr">
        <is>
          <t/>
        </is>
      </c>
      <c r="F1033" s="6" t="inlineStr">
        <is>
          <t/>
        </is>
      </c>
      <c r="G1033" s="6" t="inlineStr">
        <is>
          <t/>
        </is>
      </c>
    </row>
    <row r="1034">
      <c r="A1034" s="3" t="inlineStr">
        <is>
          <t>BXB 10050P</t>
        </is>
      </c>
      <c r="B1034" s="2" t="inlineStr">
        <is>
          <t>Bass-reflex reprobox</t>
        </is>
      </c>
      <c r="C1034" s="1" t="n">
        <v>50.89</v>
      </c>
      <c r="D1034" s="7" t="n">
        <f>HYPERLINK("https://www.somogyi.sk/product/bass-reflex-reprobox-bxb-10050p-4539","https://www.somogyi.sk/product/bass-reflex-reprobox-bxb-10050p-4539")</f>
        <v>0.0</v>
      </c>
      <c r="E1034" s="7" t="n">
        <f>HYPERLINK("https://www.somogyi.sk/data/img/product_main_images/small/04539.jpg","https://www.somogyi.sk/data/img/product_main_images/small/04539.jpg")</f>
        <v>0.0</v>
      </c>
      <c r="F1034" s="2" t="inlineStr">
        <is>
          <t>5998312739976</t>
        </is>
      </c>
      <c r="G1034" s="4" t="inlineStr">
        <is>
          <t xml:space="preserve"> • prevedenie reproboxu: 3-pásmový bass-reflex 
 • výkon: 60 W 
 • frekvenčné pásmo: 55 - 20000 Hz 
 • impedancia reproduktora: 8 Ohm 
 • rozmery: 140 x 210 x 120 mm 
 • balenie: pár</t>
        </is>
      </c>
    </row>
    <row r="1035">
      <c r="A1035" s="3" t="inlineStr">
        <is>
          <t>BXB 100/8</t>
        </is>
      </c>
      <c r="B1035" s="2" t="inlineStr">
        <is>
          <t>Reprobox, 2 pásmový, 1 ks</t>
        </is>
      </c>
      <c r="C1035" s="1" t="n">
        <v>69.49</v>
      </c>
      <c r="D1035" s="7" t="n">
        <f>HYPERLINK("https://www.somogyi.sk/product/reprobox-2-pasmovy-1-ks-bxb-100-8-17126","https://www.somogyi.sk/product/reprobox-2-pasmovy-1-ks-bxb-100-8-17126")</f>
        <v>0.0</v>
      </c>
      <c r="E1035" s="7" t="n">
        <f>HYPERLINK("https://www.somogyi.sk/data/img/product_main_images/small/17126.jpg","https://www.somogyi.sk/data/img/product_main_images/small/17126.jpg")</f>
        <v>0.0</v>
      </c>
      <c r="F1035" s="2" t="inlineStr">
        <is>
          <t>5999084951580</t>
        </is>
      </c>
      <c r="G1035" s="4" t="inlineStr">
        <is>
          <t xml:space="preserve"> • prevedenie reproboxu: 2 pásmový bas-reflex 
 • výkon: 60 W 
 • frekvenčné pásmo: 45 - 20000 Hz 
 • impedancia reproduktora: 8 Ohm 
 • rozmery: 200 x 285 x 190 mm / 2,9 kg</t>
        </is>
      </c>
    </row>
    <row r="1036">
      <c r="A1036" s="6" t="inlineStr">
        <is>
          <t xml:space="preserve">   Zvuková technika / Hifi stredobasový, basový, širokopásmový reproduktor</t>
        </is>
      </c>
      <c r="B1036" s="6" t="inlineStr">
        <is>
          <t/>
        </is>
      </c>
      <c r="C1036" s="6" t="inlineStr">
        <is>
          <t/>
        </is>
      </c>
      <c r="D1036" s="6" t="inlineStr">
        <is>
          <t/>
        </is>
      </c>
      <c r="E1036" s="6" t="inlineStr">
        <is>
          <t/>
        </is>
      </c>
      <c r="F1036" s="6" t="inlineStr">
        <is>
          <t/>
        </is>
      </c>
      <c r="G1036" s="6" t="inlineStr">
        <is>
          <t/>
        </is>
      </c>
    </row>
    <row r="1037">
      <c r="A1037" s="3" t="inlineStr">
        <is>
          <t>SBX 1320/BK</t>
        </is>
      </c>
      <c r="B1037" s="2" t="inlineStr">
        <is>
          <t>Stredobasový reproduktor</t>
        </is>
      </c>
      <c r="C1037" s="1" t="n">
        <v>16.59</v>
      </c>
      <c r="D1037" s="7" t="n">
        <f>HYPERLINK("https://www.somogyi.sk/product/stredobasovy-reproduktor-sbx-1320-bk-8804","https://www.somogyi.sk/product/stredobasovy-reproduktor-sbx-1320-bk-8804")</f>
        <v>0.0</v>
      </c>
      <c r="E1037" s="7" t="n">
        <f>HYPERLINK("https://www.somogyi.sk/data/img/product_main_images/small/08804.jpg","https://www.somogyi.sk/data/img/product_main_images/small/08804.jpg")</f>
        <v>0.0</v>
      </c>
      <c r="F1037" s="2" t="inlineStr">
        <is>
          <t>5998312776865</t>
        </is>
      </c>
      <c r="G1037" s="4" t="inlineStr">
        <is>
          <t xml:space="preserve"> • magneticky tienený reproduktor: nie 
 • menovitý priemer reproduktora: 130 mm 
 • plnené ferrofluidom: nie 
 • materiál kónusu: kevlár 
 • impedancia reproduktora: 8 Ω 
 • zaťažiteľnosť reproduktora: 60 / 40 W 
 • frekvenčné pásmo: 50 - 7000 Hz 
 • citlivosť reproduktora: 85 dB 
 • cievka: 1", 4 vrstvy 
 • teleso cievky: hliník 
 • magnet: 20 Oz</t>
        </is>
      </c>
    </row>
    <row r="1038">
      <c r="A1038" s="3" t="inlineStr">
        <is>
          <t>SKN 13</t>
        </is>
      </c>
      <c r="B1038" s="2" t="inlineStr">
        <is>
          <t>Stredový reproduktor</t>
        </is>
      </c>
      <c r="C1038" s="1" t="n">
        <v>10.99</v>
      </c>
      <c r="D1038" s="7" t="n">
        <f>HYPERLINK("https://www.somogyi.sk/product/stredovy-reproduktor-skn-13-8712","https://www.somogyi.sk/product/stredovy-reproduktor-skn-13-8712")</f>
        <v>0.0</v>
      </c>
      <c r="E1038" s="7" t="n">
        <f>HYPERLINK("https://www.somogyi.sk/data/img/product_main_images/small/08712.jpg","https://www.somogyi.sk/data/img/product_main_images/small/08712.jpg")</f>
        <v>0.0</v>
      </c>
      <c r="F1038" s="2" t="inlineStr">
        <is>
          <t>5998312775967</t>
        </is>
      </c>
      <c r="G1038" s="4" t="inlineStr">
        <is>
          <t xml:space="preserve"> • magneticky tienený reproduktor: nie 
 • menovitý priemer reproduktora: 130 mm 
 • plnené ferrofluidom: nie 
 • materiál kónusu: PC 
 • impedancia reproduktora: 8 Ω 
 • zaťažiteľnosť reproduktora: 50 / 40 W 
 • frekvenčné pásmo: 400 - 7000 Hz 
 • citlivosť reproduktora: 86 dB 
 • hermeticky uzavretý kôš: áno</t>
        </is>
      </c>
    </row>
    <row r="1039">
      <c r="A1039" s="3" t="inlineStr">
        <is>
          <t>SKN 10</t>
        </is>
      </c>
      <c r="B1039" s="2" t="inlineStr">
        <is>
          <t>Stredový reproduktor</t>
        </is>
      </c>
      <c r="C1039" s="1" t="n">
        <v>9.19</v>
      </c>
      <c r="D1039" s="7" t="n">
        <f>HYPERLINK("https://www.somogyi.sk/product/stredovy-reproduktor-skn-10-8711","https://www.somogyi.sk/product/stredovy-reproduktor-skn-10-8711")</f>
        <v>0.0</v>
      </c>
      <c r="E1039" s="7" t="n">
        <f>HYPERLINK("https://www.somogyi.sk/data/img/product_main_images/small/08711.jpg","https://www.somogyi.sk/data/img/product_main_images/small/08711.jpg")</f>
        <v>0.0</v>
      </c>
      <c r="F1039" s="2" t="inlineStr">
        <is>
          <t>5998312775950</t>
        </is>
      </c>
      <c r="G1039" s="4" t="inlineStr">
        <is>
          <t xml:space="preserve"> • magneticky tienený reproduktor: nie 
 • menovitý priemer reproduktora: 100 mm 
 • plnené ferrofluidom: nie 
 • materiál kónusu: PC 
 • impedancia reproduktora: 8 Ω 
 • zaťažiteľnosť reproduktora: 40 / 30 W 
 • frekvenčné pásmo: 500 - 8500 hz 
 • citlivosť reproduktora: 84 dB 
 • hermeticky uzavretý kôš: áno</t>
        </is>
      </c>
    </row>
    <row r="1040">
      <c r="A1040" s="3" t="inlineStr">
        <is>
          <t>DTF 12</t>
        </is>
      </c>
      <c r="B1040" s="2" t="inlineStr">
        <is>
          <t>Kalotový reproduktor</t>
        </is>
      </c>
      <c r="C1040" s="1" t="n">
        <v>12.39</v>
      </c>
      <c r="D1040" s="7" t="n">
        <f>HYPERLINK("https://www.somogyi.sk/product/kalotovy-reproduktor-dtf-12-2656","https://www.somogyi.sk/product/kalotovy-reproduktor-dtf-12-2656")</f>
        <v>0.0</v>
      </c>
      <c r="E1040" s="7" t="n">
        <f>HYPERLINK("https://www.somogyi.sk/data/img/product_main_images/small/02656.jpg","https://www.somogyi.sk/data/img/product_main_images/small/02656.jpg")</f>
        <v>0.0</v>
      </c>
      <c r="F1040" s="2" t="inlineStr">
        <is>
          <t>5998312729762</t>
        </is>
      </c>
      <c r="G1040" s="4" t="inlineStr">
        <is>
          <t xml:space="preserve"> • magneticky tienený reproduktor: nie 
 • menovitý priemer reproduktora: 103 mm 
 • plnené ferrofluidom: áno 
 • materiál kónusu: hodváb 
 • impedancia reproduktora: 8 Ω 
 • zaťažiteľnosť reproduktora: 100 / 50 W 
 • frekvenčné pásmo: 2000 - 21000 Hz 
 • citlivosť reproduktora: 91 db 
 • cievka: 1" 
 • magnet: 8 Oz</t>
        </is>
      </c>
    </row>
    <row r="1041">
      <c r="A1041" s="3" t="inlineStr">
        <is>
          <t>DT 21</t>
        </is>
      </c>
      <c r="B1041" s="2" t="inlineStr">
        <is>
          <t>Výškový reproduktor</t>
        </is>
      </c>
      <c r="C1041" s="1" t="n">
        <v>3.69</v>
      </c>
      <c r="D1041" s="7" t="n">
        <f>HYPERLINK("https://www.somogyi.sk/product/vyskovy-reproduktor-dt-21-16208","https://www.somogyi.sk/product/vyskovy-reproduktor-dt-21-16208")</f>
        <v>0.0</v>
      </c>
      <c r="E1041" s="7" t="n">
        <f>HYPERLINK("https://www.somogyi.sk/data/img/product_main_images/small/16208.jpg","https://www.somogyi.sk/data/img/product_main_images/small/16208.jpg")</f>
        <v>0.0</v>
      </c>
      <c r="F1041" s="2" t="inlineStr">
        <is>
          <t>5999084942403</t>
        </is>
      </c>
      <c r="G1041" s="4" t="inlineStr">
        <is>
          <t xml:space="preserve"> • magneticky tienený reproduktor: nie 
 • menovitý priemer reproduktora: Ø74 mm 
 • materiál kónusu: mylar 
 • impedancia reproduktora: 8 Ohm 
 • zaťažiteľnosť reproduktora: 40 W  / 20 W (hudobný / menovitý) 
 • frekvenčné pásmo: 3.000 – 21.000 Hz 
 • citlivosť reproduktora: 91 dB 
 • magnet: 2 x 0,6 Oz</t>
        </is>
      </c>
    </row>
    <row r="1042">
      <c r="A1042" s="3" t="inlineStr">
        <is>
          <t>SBX 2530/BK</t>
        </is>
      </c>
      <c r="B1042" s="2" t="inlineStr">
        <is>
          <t>Basový reproduktor</t>
        </is>
      </c>
      <c r="C1042" s="1" t="n">
        <v>47.39</v>
      </c>
      <c r="D1042" s="7" t="n">
        <f>HYPERLINK("https://www.somogyi.sk/product/basovy-reproduktor-sbx-2530-bk-8807","https://www.somogyi.sk/product/basovy-reproduktor-sbx-2530-bk-8807")</f>
        <v>0.0</v>
      </c>
      <c r="E1042" s="7" t="n">
        <f>HYPERLINK("https://www.somogyi.sk/data/img/product_main_images/small/08807.jpg","https://www.somogyi.sk/data/img/product_main_images/small/08807.jpg")</f>
        <v>0.0</v>
      </c>
      <c r="F1042" s="2" t="inlineStr">
        <is>
          <t>5998312776896</t>
        </is>
      </c>
      <c r="G1042" s="4" t="inlineStr">
        <is>
          <t xml:space="preserve"> • magneticky tienený reproduktor: nie 
 • menovitý priemer reproduktora: 250 mm 
 • plnené ferrofluidom: nie 
 • materiál kónusu: kevlár 
 • impedancia reproduktora: 8 Ω 
 • zaťažiteľnosť reproduktora: 150 / 100 W 
 • frekvenčné pásmo: 30 - 2500 Hz 
 • citlivosť reproduktora: 90 dB 
 • cievka: 1,5", 4 vrstvy 
 • teleso cievky: hliník 
 • magnet: 30 Oz</t>
        </is>
      </c>
    </row>
    <row r="1043">
      <c r="A1043" s="3" t="inlineStr">
        <is>
          <t>SBX 1010/BK</t>
        </is>
      </c>
      <c r="B1043" s="2" t="inlineStr">
        <is>
          <t>Stredobasový reproduktor</t>
        </is>
      </c>
      <c r="C1043" s="1" t="n">
        <v>14.09</v>
      </c>
      <c r="D1043" s="7" t="n">
        <f>HYPERLINK("https://www.somogyi.sk/product/stredobasovy-reproduktor-sbx-1010-bk-8803","https://www.somogyi.sk/product/stredobasovy-reproduktor-sbx-1010-bk-8803")</f>
        <v>0.0</v>
      </c>
      <c r="E1043" s="7" t="n">
        <f>HYPERLINK("https://www.somogyi.sk/data/img/product_main_images/small/08803.jpg","https://www.somogyi.sk/data/img/product_main_images/small/08803.jpg")</f>
        <v>0.0</v>
      </c>
      <c r="F1043" s="2" t="inlineStr">
        <is>
          <t>5998312776858</t>
        </is>
      </c>
      <c r="G1043" s="4" t="inlineStr">
        <is>
          <t xml:space="preserve"> • magneticky tienený reproduktor: nie 
 • menovitý priemer reproduktora: 100 mm 
 • plnené ferrofluidom: nie 
 • materiál kónusu: kevlár 
 • impedancia reproduktora: 8 Ω 
 • zaťažiteľnosť reproduktora: 50 / 35 W 
 • frekvenčné pásmo: 55 - 8000 Hz 
 • citlivosť reproduktora: 82 dB 
 • cievka: 0,75", 2 vrstvy 
 • teleso cievky: hliník 
 • magnet: 10 Oz</t>
        </is>
      </c>
    </row>
    <row r="1044">
      <c r="A1044" s="3" t="inlineStr">
        <is>
          <t>SBX 1620/BK</t>
        </is>
      </c>
      <c r="B1044" s="2" t="inlineStr">
        <is>
          <t>Basový reproduktor</t>
        </is>
      </c>
      <c r="C1044" s="1" t="n">
        <v>26.19</v>
      </c>
      <c r="D1044" s="7" t="n">
        <f>HYPERLINK("https://www.somogyi.sk/product/basovy-reproduktor-sbx-1620-bk-8805","https://www.somogyi.sk/product/basovy-reproduktor-sbx-1620-bk-8805")</f>
        <v>0.0</v>
      </c>
      <c r="E1044" s="7" t="n">
        <f>HYPERLINK("https://www.somogyi.sk/data/img/product_main_images/small/08805.jpg","https://www.somogyi.sk/data/img/product_main_images/small/08805.jpg")</f>
        <v>0.0</v>
      </c>
      <c r="F1044" s="2" t="inlineStr">
        <is>
          <t>5998312776872</t>
        </is>
      </c>
      <c r="G1044" s="4" t="inlineStr">
        <is>
          <t xml:space="preserve"> • magneticky tienený reproduktor: nie 
 • menovitý priemer reproduktora: 165 mm 
 • plnené ferrofluidom: nie 
 • materiál kónusu: kevlár 
 • impedancia reproduktora: 8 Ω 
 • zaťažiteľnosť reproduktora: 80 / 50 W 
 • frekvenčné pásmo: 45 - 7000 Hz 
 • citlivosť reproduktora: 87 dB 
 • cievka: 1", 4 vrstvy 
 • teleso cievky: hliník 
 • magnet: 20 Oz</t>
        </is>
      </c>
    </row>
    <row r="1045">
      <c r="A1045" s="3" t="inlineStr">
        <is>
          <t>SBV 2020/4</t>
        </is>
      </c>
      <c r="B1045" s="2" t="inlineStr">
        <is>
          <t>Basový reproduktor</t>
        </is>
      </c>
      <c r="C1045" s="1" t="n">
        <v>21.39</v>
      </c>
      <c r="D1045" s="7" t="n">
        <f>HYPERLINK("https://www.somogyi.sk/product/basovy-reproduktor-sbv-2020-4-3141","https://www.somogyi.sk/product/basovy-reproduktor-sbv-2020-4-3141")</f>
        <v>0.0</v>
      </c>
      <c r="E1045" s="7" t="n">
        <f>HYPERLINK("https://www.somogyi.sk/data/img/product_main_images/small/03141.jpg","https://www.somogyi.sk/data/img/product_main_images/small/03141.jpg")</f>
        <v>0.0</v>
      </c>
      <c r="F1045" s="2" t="inlineStr">
        <is>
          <t>5998312734650</t>
        </is>
      </c>
      <c r="G1045" s="4" t="inlineStr">
        <is>
          <t xml:space="preserve"> • magneticky tienený reproduktor: nie 
 • menovitý priemer reproduktora: 200 mm 
 • plnené ferrofluidom: nie 
 • materiál kónusu: PC 
 • impedancia reproduktora: 4 Ω 
 • zaťažiteľnosť reproduktora: 80 / 50 W 
 • frekvenčné pásmo: 45 - 5000 Hz 
 • citlivosť reproduktora: 86 dB 
 • cievka: 1" 2 vrstvy 
 • teleso cievky: hliník 
 • magnet: 20 Oz</t>
        </is>
      </c>
    </row>
    <row r="1046">
      <c r="A1046" s="3" t="inlineStr">
        <is>
          <t>SKN 16</t>
        </is>
      </c>
      <c r="B1046" s="2" t="inlineStr">
        <is>
          <t>Stredový reproduktor</t>
        </is>
      </c>
      <c r="C1046" s="1" t="n">
        <v>15.09</v>
      </c>
      <c r="D1046" s="7" t="n">
        <f>HYPERLINK("https://www.somogyi.sk/product/stredovy-reproduktor-skn-16-8713","https://www.somogyi.sk/product/stredovy-reproduktor-skn-16-8713")</f>
        <v>0.0</v>
      </c>
      <c r="E1046" s="7" t="n">
        <f>HYPERLINK("https://www.somogyi.sk/data/img/product_main_images/small/08713.jpg","https://www.somogyi.sk/data/img/product_main_images/small/08713.jpg")</f>
        <v>0.0</v>
      </c>
      <c r="F1046" s="2" t="inlineStr">
        <is>
          <t>5998312775974</t>
        </is>
      </c>
      <c r="G1046" s="4" t="inlineStr">
        <is>
          <t xml:space="preserve"> • magneticky tienený reproduktor: nie 
 • menovitý priemer reproduktora: 165 mm 
 • plnené ferrofluidom: nie 
 • materiál kónusu: PC 
 • impedancia reproduktora: 8 Ω 
 • zaťažiteľnosť reproduktora: 60 / 40 W 
 • frekvenčné pásmo: 300 - 6000 Hz 
 • citlivosť reproduktora: 88 dB 
 • hermeticky uzavretý kôš: áno</t>
        </is>
      </c>
    </row>
    <row r="1047">
      <c r="A1047" s="3" t="inlineStr">
        <is>
          <t>SBX 2030/BK</t>
        </is>
      </c>
      <c r="B1047" s="2" t="inlineStr">
        <is>
          <t>Basový reproduktor</t>
        </is>
      </c>
      <c r="C1047" s="1" t="n">
        <v>42.69</v>
      </c>
      <c r="D1047" s="7" t="n">
        <f>HYPERLINK("https://www.somogyi.sk/product/basovy-reproduktor-sbx-2030-bk-8806","https://www.somogyi.sk/product/basovy-reproduktor-sbx-2030-bk-8806")</f>
        <v>0.0</v>
      </c>
      <c r="E1047" s="7" t="n">
        <f>HYPERLINK("https://www.somogyi.sk/data/img/product_main_images/small/08806.jpg","https://www.somogyi.sk/data/img/product_main_images/small/08806.jpg")</f>
        <v>0.0</v>
      </c>
      <c r="F1047" s="2" t="inlineStr">
        <is>
          <t>5998312776889</t>
        </is>
      </c>
      <c r="G1047" s="4" t="inlineStr">
        <is>
          <t xml:space="preserve"> • magneticky tienený reproduktor: nie 
 • menovitý priemer reproduktora: 200 mm 
 • plnené ferrofluidom: nie 
 • materiál kónusu: kevlár 
 • impedancia reproduktora: 8 Ω 
 • zaťažiteľnosť reproduktora: 120 / 80 W 
 • frekvenčné pásmo: 35 -3000 Hz 
 • citlivosť reproduktora: 88 dB 
 • cievka: 1,5", 4 vrstvy 
 • teleso cievky: hliník 
 • magnet: 30 Oz</t>
        </is>
      </c>
    </row>
    <row r="1048">
      <c r="A1048" s="3" t="inlineStr">
        <is>
          <t>SBV 2020</t>
        </is>
      </c>
      <c r="B1048" s="2" t="inlineStr">
        <is>
          <t>Basový reproduktor</t>
        </is>
      </c>
      <c r="C1048" s="1" t="n">
        <v>21.39</v>
      </c>
      <c r="D1048" s="7" t="n">
        <f>HYPERLINK("https://www.somogyi.sk/product/basovy-reproduktor-sbv-2020-3050","https://www.somogyi.sk/product/basovy-reproduktor-sbv-2020-3050")</f>
        <v>0.0</v>
      </c>
      <c r="E1048" s="7" t="n">
        <f>HYPERLINK("https://www.somogyi.sk/data/img/product_main_images/small/03050.jpg","https://www.somogyi.sk/data/img/product_main_images/small/03050.jpg")</f>
        <v>0.0</v>
      </c>
      <c r="F1048" s="2" t="inlineStr">
        <is>
          <t>5998312733745</t>
        </is>
      </c>
      <c r="G1048" s="4" t="inlineStr">
        <is>
          <t xml:space="preserve"> • magneticky tienený reproduktor: nie 
 • menovitý priemer reproduktora: 200 mm 
 • plnené ferrofluidom: nie 
 • materiál kónusu: PC 
 • impedancia reproduktora: 8 Ω 
 • zaťažiteľnosť reproduktora: 80 / 50 W 
 • frekvenčné pásmo: 45 - 5000 Hz 
 • citlivosť reproduktora: 85 dB 
 • cievka: 1" 2 vrstvy 
 • teleso cievky: hliník 
 • magnet: 20 Oz</t>
        </is>
      </c>
    </row>
    <row r="1049">
      <c r="A1049" s="6" t="inlineStr">
        <is>
          <t xml:space="preserve">   Zvuková technika / Prenosný multimediálny reproduktor</t>
        </is>
      </c>
      <c r="B1049" s="6" t="inlineStr">
        <is>
          <t/>
        </is>
      </c>
      <c r="C1049" s="6" t="inlineStr">
        <is>
          <t/>
        </is>
      </c>
      <c r="D1049" s="6" t="inlineStr">
        <is>
          <t/>
        </is>
      </c>
      <c r="E1049" s="6" t="inlineStr">
        <is>
          <t/>
        </is>
      </c>
      <c r="F1049" s="6" t="inlineStr">
        <is>
          <t/>
        </is>
      </c>
      <c r="G1049" s="6" t="inlineStr">
        <is>
          <t/>
        </is>
      </c>
    </row>
    <row r="1050">
      <c r="A1050" s="3" t="inlineStr">
        <is>
          <t>SAL 250BT</t>
        </is>
      </c>
      <c r="B1050" s="2" t="inlineStr">
        <is>
          <t>Multimediálny pár reproboxov, 25 cm</t>
        </is>
      </c>
      <c r="C1050" s="1" t="n">
        <v>289.49</v>
      </c>
      <c r="D1050" s="7" t="n">
        <f>HYPERLINK("https://www.somogyi.sk/product/multimedialny-par-reproboxov-25-cm-sal-250bt-17911","https://www.somogyi.sk/product/multimedialny-par-reproboxov-25-cm-sal-250bt-17911")</f>
        <v>0.0</v>
      </c>
      <c r="E1050" s="7" t="n">
        <f>HYPERLINK("https://www.somogyi.sk/data/img/product_main_images/small/17911.jpg","https://www.somogyi.sk/data/img/product_main_images/small/17911.jpg")</f>
        <v>0.0</v>
      </c>
      <c r="F1050" s="2" t="inlineStr">
        <is>
          <t>5999084959333</t>
        </is>
      </c>
      <c r="G1050" s="4" t="inlineStr">
        <is>
          <t xml:space="preserve"> • reproduktor: basový: Ø250 mm • stredobasový: Ø110 mm • výškový: Ø40 mm 
 • frekvenčné pásmo: 30 - 20.000 Hz 
 • farba: čierna 
 • prevedenie reproboxu: 3 pásmový bass reflex 
 • digitálny displej: áno 
 • výstupný výkon: 2 x 120 W / 100 W  (hudobný / menovitý) 
 • bezdrôtové BT spojenie: áno 
 • FM rádio: automatické a manuálne vyhľadávanie, uloženie rozhl. staníc 
 • prehrávateľné formáty: MP3, WMA, FLAC, APE, WAV 
 • možnosť pripojiť pamäť: USB / SD (FAT32, max.32 GB) 
 • stereo efekt: áno 
 • mikrofónový vstup: 2 x Ø6,3 mm, jack 
 • káblový audio vstup: 2 x RCA 
 • napájanie: 230 V~ / 50 Hz • napájanie diaľkového ovládača: 2 x AAA batéria, nie je príslušenstvom 
 • rozmery: 140 x 900 x 350 mm (2 ks) / hmotnosť: 12,8 kg   9,8 kg 
 • hmotnosť: 12,8 kg   9,8 kg</t>
        </is>
      </c>
    </row>
    <row r="1051">
      <c r="A1051" s="3" t="inlineStr">
        <is>
          <t>BT2000</t>
        </is>
      </c>
      <c r="B1051" s="2" t="inlineStr">
        <is>
          <t>Prenosný Boombox, vodotesný</t>
        </is>
      </c>
      <c r="C1051" s="1" t="n">
        <v>33.89</v>
      </c>
      <c r="D1051" s="7" t="n">
        <f>HYPERLINK("https://www.somogyi.sk/product/prenosny-boombox-vodotesny-bt2000-18933","https://www.somogyi.sk/product/prenosny-boombox-vodotesny-bt2000-18933")</f>
        <v>0.0</v>
      </c>
      <c r="E1051" s="7" t="n">
        <f>HYPERLINK("https://www.somogyi.sk/data/img/product_main_images/small/18933.jpg","https://www.somogyi.sk/data/img/product_main_images/small/18933.jpg")</f>
        <v>0.0</v>
      </c>
      <c r="F1051" s="2" t="inlineStr">
        <is>
          <t>5999084969271</t>
        </is>
      </c>
      <c r="G1051" s="4" t="inlineStr">
        <is>
          <t xml:space="preserve"> • reproduktor: 2 x 2" (50 mm) 
 •    115 x 50 mm oválny pasívny basový reproduktor 
 • frekvenčné pásmo: 70 - 20.000 Hz 
 • funkcie: BT TWS/USB/microSD/AUX 
 • farba: čierna 
 •  
 • výstupný výkon: 2 x 10 W 
 • prehrávateľné formáty: MP3 
 •  
 • diaľkové ovládanie prehrávača hudby mobilných zariadení: áno 
 •  
 • káblový audio vstup: Ø3,5 mm jack 
 • zabudovaný akumulátor: Li-ion 18650 (3.7V/~4000mAh/14.8Wh) 
 • doba prevádzky / nabíjania: ~11h / ~6h 
 • napájanie: zabudovaný akumulátor 
 • rozmery: 215 x 88 x 88 mm 
 • hmotnosť: 0,87 kg 
 • IP stupeň ochrany: IPX5 
 • charakteristiky: dynamický, plný zvuk • masívna, stabilná konštrukcia 
 • vlastnosť: možno použiť v stojacej aj ležiacej polohe</t>
        </is>
      </c>
    </row>
    <row r="1052">
      <c r="A1052" s="3" t="inlineStr">
        <is>
          <t>BT 5000</t>
        </is>
      </c>
      <c r="B1052" s="2" t="inlineStr">
        <is>
          <t>Prenosný Boom-Box</t>
        </is>
      </c>
      <c r="C1052" s="1" t="n">
        <v>77.79</v>
      </c>
      <c r="D1052" s="7" t="n">
        <f>HYPERLINK("https://www.somogyi.sk/product/prenosny-boom-box-bt-5000-17556","https://www.somogyi.sk/product/prenosny-boom-box-bt-5000-17556")</f>
        <v>0.0</v>
      </c>
      <c r="E1052" s="7" t="n">
        <f>HYPERLINK("https://www.somogyi.sk/data/img/product_main_images/small/17556.jpg","https://www.somogyi.sk/data/img/product_main_images/small/17556.jpg")</f>
        <v>0.0</v>
      </c>
      <c r="F1052" s="2" t="inlineStr">
        <is>
          <t>5999084955786</t>
        </is>
      </c>
      <c r="G1052" s="4" t="inlineStr">
        <is>
          <t xml:space="preserve"> • výstupný výkon: 2 x 25 W 
 • bezdrôtové BT spojenie: 5.0 / 10m max 
 • FM rádio: 87,5-108,0 MHz / 50 programov / automatické ladenie a uloženie 
 • stereo efekt: áno 
 • XTRA BASS: Dual-Bass reproduktory 
 • zabudovaný mikrofón: áno 
 • ozvučenie telefonického hovoru: áno 
 • káblový audio vstup: Ø3,5 mm jack 
 • zabudovaný akumulátor: Li-ion / 7,4 V / 3600 mAh 
 •  
 • napájanie: zabudovaný akumulátor (odporúčané nabíjačky: SA 2000UC, SA 24USB, SA 50USB) 
 • rozmery: 354 x 187 x 144 mm / 2,5 kg 
 • hmotnosť: 2,5 kg 
 • bezdrôtové BT spojenie: bezdrôtový BT TWS spojenie • v5.0 / max.10 m • Bluetooth 2.402-2.480 GHz ERP ≤2.5 mW 
 • MP3 prehrávač: áno 
 • zabudovaný zosilňovač: áno 
 • regulátor hlasitosti: áno</t>
        </is>
      </c>
    </row>
    <row r="1053">
      <c r="A1053" s="3" t="inlineStr">
        <is>
          <t>RRT 4B</t>
        </is>
      </c>
      <c r="B1053" s="2" t="inlineStr">
        <is>
          <t>Retro rádioprijímac a multimediálny prehrávac</t>
        </is>
      </c>
      <c r="C1053" s="1" t="n">
        <v>60.49</v>
      </c>
      <c r="D1053" s="7" t="n">
        <f>HYPERLINK("https://www.somogyi.sk/product/retro-radioprijimac-a-multimedialny-prehravac-rrt-4b-16337","https://www.somogyi.sk/product/retro-radioprijimac-a-multimedialny-prehravac-rrt-4b-16337")</f>
        <v>0.0</v>
      </c>
      <c r="E1053" s="7" t="n">
        <f>HYPERLINK("https://www.somogyi.sk/data/img/product_main_images/small/16337.jpg","https://www.somogyi.sk/data/img/product_main_images/small/16337.jpg")</f>
        <v>0.0</v>
      </c>
      <c r="F1053" s="2" t="inlineStr">
        <is>
          <t>5999084943691</t>
        </is>
      </c>
      <c r="G1053" s="4" t="inlineStr">
        <is>
          <t xml:space="preserve"> • bezdrôtové BT spojenie: v2.1 + EDR / max.10 m • Bluetooth 2.402-2.480 GHz ERP ≤2.5 mW 
 • FM rádio: áno 
 • prehrávateľné formáty: MP3 
 • možnosť pripojiť pamäť: USB / microSD 
 • regulátor vysokých a hlbokých tónov: áno 
 • káblový audio vstup: AUX IN 
 • zásuvka pre slúchadlo: Ø3,5 mm jack 
 • zabudovaný akumulátor: 8V 800mAh 
 • doba prevádzky / nabíjania: 16 / 8 h 
 • príslušenstvo: sieťový kábel 
 • diaľkový ovládač (CR2025 gombíková batéria) 
 • rozmery: 320 x 210 x 150 mm</t>
        </is>
      </c>
    </row>
    <row r="1054">
      <c r="A1054" s="3" t="inlineStr">
        <is>
          <t>SAL 200BT</t>
        </is>
      </c>
      <c r="B1054" s="2" t="inlineStr">
        <is>
          <t>Multimediálny pár reproboxov, 20 cm</t>
        </is>
      </c>
      <c r="C1054" s="1" t="n">
        <v>213.9</v>
      </c>
      <c r="D1054" s="7" t="n">
        <f>HYPERLINK("https://www.somogyi.sk/product/multimedialny-par-reproboxov-20-cm-sal-200bt-17907","https://www.somogyi.sk/product/multimedialny-par-reproboxov-20-cm-sal-200bt-17907")</f>
        <v>0.0</v>
      </c>
      <c r="E1054" s="7" t="n">
        <f>HYPERLINK("https://www.somogyi.sk/data/img/product_main_images/small/17907.jpg","https://www.somogyi.sk/data/img/product_main_images/small/17907.jpg")</f>
        <v>0.0</v>
      </c>
      <c r="F1054" s="2" t="inlineStr">
        <is>
          <t>5999084959296</t>
        </is>
      </c>
      <c r="G1054" s="4" t="inlineStr">
        <is>
          <t xml:space="preserve"> • reproduktor: basový: Ø200 mm • stredobasový: Ø110 mm • výškový: Ø40 mm 
 • frekvenčné pásmo: 35 – 20.000 Hz 
 • farba: čierna 
 • prevedenie reproboxu: 3 pásmový bass reflex 
 • digitálny displej: áno 
 • výstupný výkon: 2 x 80 W / 60 W (hudobný / menovitý) 
 • bezdrôtové BT spojenie: Bluetooth 2.402-2.480 GHz ERP ≤2.5 mW (max.10 m) 
 • FM rádio: automatické vyhľadávanie, uloženie rozhl. staníc 
 • prehrávateľné formáty: MP3, WMA, FLAC, APE, WAV 
 • možnosť pripojiť pamäť: USB / SD (FAT32, max.32 GB) 
 • stereo efekt: áno 
 • mikrofónový vstup: 2 x Ø6,3 mm, jack 
 • káblový audio vstup: 2 x RCA 
 • napájanie: 230 V~ / 50 Hz • napájanie diaľkového ovládača: 2 x AAA batéria, nie je príslušenstvom 
 • rozmery: 140 x 600 x 350 mm (2 ks) / hmotnosť: 10,2 kg   8,4 kg 
 • hmotnosť: 10,2 kg   8,4 kg</t>
        </is>
      </c>
    </row>
    <row r="1055">
      <c r="A1055" s="3" t="inlineStr">
        <is>
          <t>RPR 7B</t>
        </is>
      </c>
      <c r="B1055" s="2" t="inlineStr">
        <is>
          <t>Prenosné rádio, MP3-BT, 4 pásmové, AC/DC</t>
        </is>
      </c>
      <c r="C1055" s="1" t="n">
        <v>36.49</v>
      </c>
      <c r="D1055" s="7" t="n">
        <f>HYPERLINK("https://www.somogyi.sk/product/prenosne-radio-mp3-bt-4-pasmove-ac-dc-rpr-7b-17093","https://www.somogyi.sk/product/prenosne-radio-mp3-bt-4-pasmove-ac-dc-rpr-7b-17093")</f>
        <v>0.0</v>
      </c>
      <c r="E1055" s="7" t="n">
        <f>HYPERLINK("https://www.somogyi.sk/data/img/product_main_images/small/17093.jpg","https://www.somogyi.sk/data/img/product_main_images/small/17093.jpg")</f>
        <v>0.0</v>
      </c>
      <c r="F1055" s="2" t="inlineStr">
        <is>
          <t>5999084951252</t>
        </is>
      </c>
      <c r="G1055" s="4" t="inlineStr">
        <is>
          <t xml:space="preserve"> • farba: čierna 
 • výstupný výkon: 3 W max. 
 • bezdrôtové BT spojenie: v4.1 / max.10 m • Bluetooth 2.402-2.480 GHz ERP ≤2.5 mW 
 • FM rádio: áno 
 • prehrávateľné formáty: MP3 / WMA 
 • možnosť pripojiť pamäť: microSD max. 32 GB 
 • zabudovaný akumulátor: 4,75 V / 500 mAh 
 • doba prevádzky / nabíjania: 18 h / 8 h 
 • príslušenstvo: sieťový kábel na nabíjanie 
 • napájanie: 230 V~ / 50 Hz / 6 W 
 • rozmery: 225 x 130 x 70 mm 
 • hmotnosť: ~750 g</t>
        </is>
      </c>
    </row>
    <row r="1056">
      <c r="A1056" s="3" t="inlineStr">
        <is>
          <t>RRT 12B</t>
        </is>
      </c>
      <c r="B1056" s="2" t="inlineStr">
        <is>
          <t>Gramofón s multimediálnymi funkciami</t>
        </is>
      </c>
      <c r="C1056" s="1" t="n">
        <v>81.99</v>
      </c>
      <c r="D1056" s="7" t="n">
        <f>HYPERLINK("https://www.somogyi.sk/product/gramofon-s-multimedialnymi-funkciami-rrt-12b-16577","https://www.somogyi.sk/product/gramofon-s-multimedialnymi-funkciami-rrt-12b-16577")</f>
        <v>0.0</v>
      </c>
      <c r="E1056" s="7" t="n">
        <f>HYPERLINK("https://www.somogyi.sk/data/img/product_main_images/small/16577.jpg","https://www.somogyi.sk/data/img/product_main_images/small/16577.jpg")</f>
        <v>0.0</v>
      </c>
      <c r="F1056" s="2" t="inlineStr">
        <is>
          <t>5999084946098</t>
        </is>
      </c>
      <c r="G1056" s="4" t="inlineStr">
        <is>
          <t xml:space="preserve"> • digitálny displej: áno 
 • výstupný výkon: 2 x 5 W 
 • bezdrôtové BT spojenie: v2.1 + EDR / max.10 m • Bluetooth 2.402-2.480 GHz ERP ≤2.5 mW 
 • FM rádio: áno 
 • prehrávateľné formáty: MP3 / WMA 
 • možnosť pripojiť pamäť: USB / microSD 
 • káblový audio vstup: Ø3,5 mm jack 
 • káblový audio výstup: 2 x RCA 
 • príslušenstvo: 1 2 ks náhradná ihla, adaptér 
 •  
 • rozmery: 420 x 120 x 390 mm / 3,5 kg</t>
        </is>
      </c>
    </row>
    <row r="1057">
      <c r="A1057" s="3" t="inlineStr">
        <is>
          <t>BT9000</t>
        </is>
      </c>
      <c r="B1057" s="2" t="inlineStr">
        <is>
          <t>BoomBox, vodotesný</t>
        </is>
      </c>
      <c r="C1057" s="1" t="n">
        <v>208.9</v>
      </c>
      <c r="D1057" s="7" t="n">
        <f>HYPERLINK("https://www.somogyi.sk/product/boombox-vodotesny-bt9000-18464","https://www.somogyi.sk/product/boombox-vodotesny-bt9000-18464")</f>
        <v>0.0</v>
      </c>
      <c r="E1057" s="7" t="n">
        <f>HYPERLINK("https://www.somogyi.sk/data/img/product_main_images/small/18464.jpg","https://www.somogyi.sk/data/img/product_main_images/small/18464.jpg")</f>
        <v>0.0</v>
      </c>
      <c r="F1057" s="2" t="inlineStr">
        <is>
          <t>5999084964825</t>
        </is>
      </c>
      <c r="G1057" s="4" t="inlineStr">
        <is>
          <t xml:space="preserve"> • reproduktor: 2x výškový   2x stredobasový   1x basový   2x pasívny basový reproduktor 
 • frekvenčné pásmo: 40 - 20.000 Hz 
 • funkcie: BT TWS / USB / microSD / AUX 
 • farebné LED podsvietenie: áno (dá sa vypnúť) 
 • výstupný výkon: 100 W (Pm) 
 • bezdrôtové BT spojenie: ≤2.5 mW / ~10 m max. • v5.0 BR EDR BLE • 2.402-2.480 GHz • A2DP1.0/AVRCP1.5/AVDTP1.0/AVCTP1.4/HFP1.5 
 • prehrávateľné formáty: MP3 
 • možnosť pripojiť pamäť: FAT32, max. 64 GB 
 • stereo efekt: áno 
 • káblový audio vstup: Ø3,5 mm jack (stereo) 
 • zabudovaný akumulátor: 6 x 2600 mAh 12 V (15600 mAh) 
 • doba prevádzky / nabíjania: ~ 10 h / ~ 7 h 
 • napájanie: zabudovaný akumulátor (18650) 
 • rozmery: 507 x 223 x 188 mm 
 • hmotnosť: 4,7 kg 
 • IP stupeň ochrany: IPX5 
 • opcionálne príslušenstvo: odporúčané nabíjačky: SA 24USB, SA 50USB</t>
        </is>
      </c>
    </row>
    <row r="1058">
      <c r="A1058" s="3" t="inlineStr">
        <is>
          <t>BTCUBE</t>
        </is>
      </c>
      <c r="B1058" s="2" t="inlineStr">
        <is>
          <t>BoomBox</t>
        </is>
      </c>
      <c r="C1058" s="1" t="n">
        <v>138.9</v>
      </c>
      <c r="D1058" s="7" t="n">
        <f>HYPERLINK("https://www.somogyi.sk/product/boombox-btcube-18921","https://www.somogyi.sk/product/boombox-btcube-18921")</f>
        <v>0.0</v>
      </c>
      <c r="E1058" s="7" t="n">
        <f>HYPERLINK("https://www.somogyi.sk/data/img/product_main_images/small/18921.jpg","https://www.somogyi.sk/data/img/product_main_images/small/18921.jpg")</f>
        <v>0.0</v>
      </c>
      <c r="F1058" s="2" t="inlineStr">
        <is>
          <t>5999084969158</t>
        </is>
      </c>
      <c r="G1058" s="4" t="inlineStr">
        <is>
          <t xml:space="preserve"> • frekvenčné pásmo: 40 - 20000 Hz 
 • funkcie: BT / BT TWS / USB / AUX / MIC / GUITAR  
 • • funkcia „power bank” nabíjania mobilu 
 • prevedenie reproboxu: bass-reflex box 
 •  
 • výstupný výkon: 70 W 
 • prehrávateľné formáty: MP3 
 •  
 •  
 • mikrofónový vstup: 1 x Ø6,3 mm, jack 
 • káblový audio vstup: 1 x Ø3,5 mm jack AUX / 1 x Ø6,3 mm, jack GUITAR 
 • zabudovaný akumulátor: 18650 (7.4 V / 11.000 mAh) 
 • doba prevádzky / nabíjania: ~8h / ~7h 
 • napájanie: zabudovaný akumulátor 
 • rozmery: 280 x 337 x 276 mm 
 • hmotnosť: 4,7 kg 
 •  
 • prevádzková teplota: 5°C... 35°C</t>
        </is>
      </c>
    </row>
    <row r="1059">
      <c r="A1059" s="3" t="inlineStr">
        <is>
          <t>RRT 6B</t>
        </is>
      </c>
      <c r="B1059" s="2" t="inlineStr">
        <is>
          <t>Retro  rádio, AM-FM-BT-USB-mSD</t>
        </is>
      </c>
      <c r="C1059" s="1" t="n">
        <v>55.19</v>
      </c>
      <c r="D1059" s="7" t="n">
        <f>HYPERLINK("https://www.somogyi.sk/product/retro-radio-am-fm-bt-usb-msd-rrt-6b-17952","https://www.somogyi.sk/product/retro-radio-am-fm-bt-usb-msd-rrt-6b-17952")</f>
        <v>0.0</v>
      </c>
      <c r="E1059" s="7" t="n">
        <f>HYPERLINK("https://www.somogyi.sk/data/img/product_main_images/small/17952.jpg","https://www.somogyi.sk/data/img/product_main_images/small/17952.jpg")</f>
        <v>0.0</v>
      </c>
      <c r="F1059" s="2" t="inlineStr">
        <is>
          <t>5999084959746</t>
        </is>
      </c>
      <c r="G1059" s="4" t="inlineStr">
        <is>
          <t xml:space="preserve"> • reproduktor: 2 x 63 mm / 4 Ohm 
 • frekvenčné pásmo: 80 - 20.000 Hz 
 • výstupný výkon: 2 x 5 Watt max. 
 • bezdrôtové BT spojenie: van (5.0, EDR, A2DP / 10m max) v2.1 + EDR / max.10 m • Bluetooth 2.402-2.480 GHz ERP ≤2.5 mW 
 • FM rádio: dvojpásmový; AM - FM (mono) 
 • prehrávateľné formáty: MP3 / WMA / FLAC / APE 
 • možnosť pripojiť pamäť: USB / micro SD FAT32, max.16 GB 
 • stereo efekt: áno 
 • regulátor vysokých a hlbokých tónov: stlačením tlačidla EQ hlbší zvuk 
 • zabudovaný mikrofón: áno 
 • ozvučenie telefonického hovoru: áno 
 • káblový audio vstup: Ø3,5 mm jack 
 • zásuvka pre slúchadlo: Ø3,5 mm jack 
 • zabudovaný akumulátor: áno (18650 Li-ion) 
 •  
 • napájanie: akumulátor 
 • rozmery: 227 x 133 x 102 mm / 770 g</t>
        </is>
      </c>
    </row>
    <row r="1060">
      <c r="A1060" s="3" t="inlineStr">
        <is>
          <t>PCS 230</t>
        </is>
      </c>
      <c r="B1060" s="2" t="inlineStr">
        <is>
          <t>Pár multimediálny reproboxov</t>
        </is>
      </c>
      <c r="C1060" s="1" t="n">
        <v>11.29</v>
      </c>
      <c r="D1060" s="7" t="n">
        <f>HYPERLINK("https://www.somogyi.sk/product/par-multimedialny-reproboxov-pcs-230-17719","https://www.somogyi.sk/product/par-multimedialny-reproboxov-pcs-230-17719")</f>
        <v>0.0</v>
      </c>
      <c r="E1060" s="7" t="n">
        <f>HYPERLINK("https://www.somogyi.sk/data/img/product_main_images/small/17719.jpg","https://www.somogyi.sk/data/img/product_main_images/small/17719.jpg")</f>
        <v>0.0</v>
      </c>
      <c r="F1060" s="2" t="inlineStr">
        <is>
          <t>5999084957414</t>
        </is>
      </c>
      <c r="G1060" s="4" t="inlineStr">
        <is>
          <t xml:space="preserve"> • reproduktor: 2 x 2” (51mm) 
 • frekvenčné pásmo: 80 - 18000 Hz 
 • prevedenie reproboxu: aktívny stereo pár reproboxov 
 • výstupný výkon: 2 x 3 W 
 • bezdrôtové BT spojenie: v4.2 / max.5 m • Bluetooth 2.402-2.480 GHz ERP ≤2.5 mW 
 • stereo efekt: áno 
 • káblový audio vstup: Ø3,5 mm jack 
 • ďalšie informácie: súčasné káblové a bezdrôtové pripojenie: napr. pripojenie k počítaču káblom a k mobilnému telefónu cez BT pripojenie • vstavaný napájací kábel s USB konektorom • dĺžka kábla medzi reproduktormi: ~80 cm 
 • rozmery: (2x) 65 x 100 x 75mm / 0.35kg</t>
        </is>
      </c>
    </row>
    <row r="1061">
      <c r="A1061" s="3" t="inlineStr">
        <is>
          <t>BT 7000</t>
        </is>
      </c>
      <c r="B1061" s="2" t="inlineStr">
        <is>
          <t>BoomBox, vodotesné</t>
        </is>
      </c>
      <c r="C1061" s="1" t="n">
        <v>96.49</v>
      </c>
      <c r="D1061" s="7" t="n">
        <f>HYPERLINK("https://www.somogyi.sk/product/boombox-vodotesne-bt-7000-18334","https://www.somogyi.sk/product/boombox-vodotesne-bt-7000-18334")</f>
        <v>0.0</v>
      </c>
      <c r="E1061" s="7" t="n">
        <f>HYPERLINK("https://www.somogyi.sk/data/img/product_main_images/small/18334.jpg","https://www.somogyi.sk/data/img/product_main_images/small/18334.jpg")</f>
        <v>0.0</v>
      </c>
      <c r="F1061" s="2" t="inlineStr">
        <is>
          <t>5999084963521</t>
        </is>
      </c>
      <c r="G1061" s="4" t="inlineStr">
        <is>
          <t xml:space="preserve"> • reproduktor: 2x výškový   2x stredobasový   2x pasívny basový reproduktor 
 • frekvenčné pásmo: 65 - 20.000 Hz 
 • farebné LED podsvietenie: áno 
 • výstupný výkon: 2 x 20 W   2 x 10 W (Pm) 
 • bezdrôtové BT spojenie: 5.3   BR   EDR / 10 m max.• Bluetooth 2.402-2.480 GHz ERP ≤2.5 mW 
 • prehrávateľné formáty: MP3 
 • možnosť pripojiť pamäť: USB (FAT32, max.64 GB) 
 • stereo efekt: áno 
 • regulátor vysokých a hlbokých tónov: EQ režimy 
 • diaľkové ovládanie prehrávača hudby mobilných zariadení: áno 
 • zabudovaný mikrofón: áno 
 • ozvučenie telefonického hovoru: áno 
 • káblový audio vstup: Ø3,5 mm jack (stereo) 
 • zabudovaný akumulátor: 4 x 1800 mAh (7.200 mAh) 
 • doba prevádzky / nabíjania: ~12 h / ~4 h 
 • napájanie: zabudovaný akumulátor 
 • ďalšie informácie: bezdrôtové BT TWS spojenie 
 • rozmery: 310 x 152 x 118 mm 
 • hmotnosť: ~2,2 kg 
 • IP stupeň ochrany: IPX6 
 • opcionálne príslušenstvo: odporúčané nabíjačky: SA 24USB, SA 50USB</t>
        </is>
      </c>
    </row>
    <row r="1062">
      <c r="A1062" s="3" t="inlineStr">
        <is>
          <t>BT 3000</t>
        </is>
      </c>
      <c r="B1062" s="2" t="inlineStr">
        <is>
          <t>Prenosný Boom-Box</t>
        </is>
      </c>
      <c r="C1062" s="1" t="n">
        <v>40.29</v>
      </c>
      <c r="D1062" s="7" t="n">
        <f>HYPERLINK("https://www.somogyi.sk/product/prenosny-boom-box-bt-3000-18003","https://www.somogyi.sk/product/prenosny-boom-box-bt-3000-18003")</f>
        <v>0.0</v>
      </c>
      <c r="E1062" s="7" t="n">
        <f>HYPERLINK("https://www.somogyi.sk/data/img/product_main_images/small/18003.jpg","https://www.somogyi.sk/data/img/product_main_images/small/18003.jpg")</f>
        <v>0.0</v>
      </c>
      <c r="F1062" s="2" t="inlineStr">
        <is>
          <t>5999084960254</t>
        </is>
      </c>
      <c r="G1062" s="4" t="inlineStr">
        <is>
          <t xml:space="preserve"> • reproduktor: 2.0 Stereo   Dual-Bass reproduktory 
 • frekvenčné pásmo: 100 – 19.000 Hz 
 • prevedenie reproboxu: dynamic-bass, uzavretý box 
 • výstupný výkon: 2 x 16 W 
 • bezdrôtové BT spojenie: v5.1 / max.10 m • Bluetooth 2.402-2.480 GHz ERP ≤2.5 mW 
 • prehrávateľné formáty: MP3 
 • možnosť pripojiť pamäť: USB (FAT32, max. 32 GB) 
 • stereo efekt: dvojnásobná hlasitosť a rozšírený stereo zážitok: dva rovnaké Boom-Boxy je možné spárovať bezdrôtovo 
 • diaľkové ovládanie prehrávača hudby mobilných zariadení: áno (závisí aj od daného zariadenia) 
 • zabudovaný mikrofón: áno 
 • ozvučenie telefonického hovoru: áno 
 • káblový audio vstup: Ø3,5 mm jack 
 • zabudovaný akumulátor: Li-ion / 3,7 V / 2200 mAh 
 • doba prevádzky / nabíjania: ~10h / ~4,5h 
 • napájanie: zabudovaný akumulátor 
 • rozmery: 301 x 130 x 125 mm 
 • hmotnosť: 1,2 kg 
 • opcionálne príslušenstvo: odporúčané nabíjačky: SA 24USB, SA 50USB</t>
        </is>
      </c>
    </row>
    <row r="1063">
      <c r="A1063" s="3" t="inlineStr">
        <is>
          <t>BT DOG</t>
        </is>
      </c>
      <c r="B1063" s="2" t="inlineStr">
        <is>
          <t>Multimediálny reprobox pes</t>
        </is>
      </c>
      <c r="C1063" s="1" t="n">
        <v>24.89</v>
      </c>
      <c r="D1063" s="7" t="n">
        <f>HYPERLINK("https://www.somogyi.sk/product/multimedialny-reprobox-pes-bt-dog-17724","https://www.somogyi.sk/product/multimedialny-reprobox-pes-bt-dog-17724")</f>
        <v>0.0</v>
      </c>
      <c r="E1063" s="7" t="n">
        <f>HYPERLINK("https://www.somogyi.sk/data/img/product_main_images/small/17724.jpg","https://www.somogyi.sk/data/img/product_main_images/small/17724.jpg")</f>
        <v>0.0</v>
      </c>
      <c r="F1063" s="2" t="inlineStr">
        <is>
          <t>5999084957469</t>
        </is>
      </c>
      <c r="G1063" s="4" t="inlineStr">
        <is>
          <t xml:space="preserve"> • výstupný výkon: 5 W 
 • bezdrôtové BT spojenie: v4.1 / max.10 m • Bluetooth 2.402-2.480 GHz ERP ≤2.5 mW 
 • FM rádio: 87,5-108,0 MHz / 38 programov / automatické ladenie a uloženie 
 • prehrávateľné formáty: NMP3 / WAV 
 • možnosť pripojiť pamäť: USB / micro SD (FAT32, max. 32 GB) 
 • diaľkové ovládanie prehrávača hudby mobilných zariadení: áno 
 • zabudovaný akumulátor: Li-ion 3,7 V / 18650 
 • doba prevádzky / nabíjania: ~5h/3h 
 •  
 • ďalšie informácie: jedinečný dizajn, s otočnou hlavou • Tento výrobok nie je hračka, nepatrí do rúk deťom! 
 • rozmery: 115 x 200 x 200 mm / 0,42 kg</t>
        </is>
      </c>
    </row>
    <row r="1064">
      <c r="A1064" s="3" t="inlineStr">
        <is>
          <t>RRT7</t>
        </is>
      </c>
      <c r="B1064" s="2" t="inlineStr">
        <is>
          <t>Retro reproduktor, stereo, drevený</t>
        </is>
      </c>
      <c r="C1064" s="1" t="n">
        <v>42.69</v>
      </c>
      <c r="D1064" s="7" t="n">
        <f>HYPERLINK("https://www.somogyi.sk/product/retro-reproduktor-stereo-dreveny-rrt7-18684","https://www.somogyi.sk/product/retro-reproduktor-stereo-dreveny-rrt7-18684")</f>
        <v>0.0</v>
      </c>
      <c r="E1064" s="7" t="n">
        <f>HYPERLINK("https://www.somogyi.sk/data/img/product_main_images/small/18684.jpg","https://www.somogyi.sk/data/img/product_main_images/small/18684.jpg")</f>
        <v>0.0</v>
      </c>
      <c r="F1064" s="2" t="inlineStr">
        <is>
          <t>5999084967024</t>
        </is>
      </c>
      <c r="G1064" s="4" t="inlineStr">
        <is>
          <t xml:space="preserve"> • reproduktor: 2.5” (63 mm) širokopásmový 
 • frekvenčné pásmo: 100 - 20000 Hz 
 • výstupný výkon: 2 x 5 W 
 • FM rádio: s automatickým vyhľadávaním a ukladaním staníc 
 • prehrávateľné formáty: MP3 / WAV 
 • možnosť pripojiť pamäť: USB / micro SD (FAT32, max. 32 GB) 
 • stereo efekt: áno 
 • zabudovaný mikrofón: áno 
 • ozvučenie telefonického hovoru: áno 
 • káblový audio vstup: Ø3,5 mm jack 
 • zabudovaný akumulátor: 3.7 V / ~2200 mAh 
 • doba prevádzky / nabíjania: ~10 h / ~4 h 
 • napájanie: zabudovaný akumulátor 
 • rozmery: 382 x 110 x 120 mm 
 • hmotnosť: 1,4 kg 
 • opcionálne príslušenstvo: odporúčané nabíjačky: SA 24USB, SA 50USB</t>
        </is>
      </c>
    </row>
    <row r="1065">
      <c r="A1065" s="3" t="inlineStr">
        <is>
          <t>RRT 2B</t>
        </is>
      </c>
      <c r="B1065" s="2" t="inlineStr">
        <is>
          <t>Retro prenosné rádio, MP3-BT</t>
        </is>
      </c>
      <c r="C1065" s="1" t="n">
        <v>46.99</v>
      </c>
      <c r="D1065" s="7" t="n">
        <f>HYPERLINK("https://www.somogyi.sk/product/retro-prenosne-radio-mp3-bt-rrt-2b-16427","https://www.somogyi.sk/product/retro-prenosne-radio-mp3-bt-rrt-2b-16427")</f>
        <v>0.0</v>
      </c>
      <c r="E1065" s="7" t="n">
        <f>HYPERLINK("https://www.somogyi.sk/data/img/product_main_images/small/16427.jpg","https://www.somogyi.sk/data/img/product_main_images/small/16427.jpg")</f>
        <v>0.0</v>
      </c>
      <c r="F1065" s="2" t="inlineStr">
        <is>
          <t>5999084944599</t>
        </is>
      </c>
      <c r="G1065" s="4" t="inlineStr">
        <is>
          <t xml:space="preserve"> • bezdrôtové BT spojenie: v2.1 + EDR / max.10 m • Bluetooth 2.402-2.480 GHz ERP ≤2.5 mW 
 • FM rádio: áno 
 • prehrávateľné formáty: MP3 
 • možnosť pripojiť pamäť: USB / microSD 
 • káblový audio vstup: AUX IN 
 • doba prevádzky / nabíjania: 20 h / 10 h 
 • príslušenstvo: sieťový kábel 
 • napájanie: sieťový kábel / zabudovaný akumulátor (18650) / 3xD/LR20 (1,5V) 
 • rozmery: 260 x 180 x 120 mm</t>
        </is>
      </c>
    </row>
    <row r="1066">
      <c r="A1066" s="3" t="inlineStr">
        <is>
          <t>BT 1000</t>
        </is>
      </c>
      <c r="B1066" s="2" t="inlineStr">
        <is>
          <t>BoomBox</t>
        </is>
      </c>
      <c r="C1066" s="1" t="n">
        <v>22.89</v>
      </c>
      <c r="D1066" s="7" t="n">
        <f>HYPERLINK("https://www.somogyi.sk/product/boombox-bt-1000-18185","https://www.somogyi.sk/product/boombox-bt-1000-18185")</f>
        <v>0.0</v>
      </c>
      <c r="E1066" s="7" t="n">
        <f>HYPERLINK("https://www.somogyi.sk/data/img/product_main_images/small/18185.jpg","https://www.somogyi.sk/data/img/product_main_images/small/18185.jpg")</f>
        <v>0.0</v>
      </c>
      <c r="F1066" s="2" t="inlineStr">
        <is>
          <t>5999084962074</t>
        </is>
      </c>
      <c r="G1066" s="4" t="inlineStr">
        <is>
          <t xml:space="preserve"> • reproduktor: 1 x ∅66 mm širokopásmový   1 x Ø66 mm pasívna membrána 
 • frekvenčné pásmo: 250 - 19.000 Hz 
 • farba: sivá farba 
 • farebné LED podsvietenie: áno (dá sa vypnúť) 
 • výstupný výkon: 5 W 
 • bezdrôtové BT spojenie: v5.0 / max.10 m • Bluetooth 2.402-2.480 GHz ERP ≤2.5 mW 
 • FM rádio: automatické vyhľadávanie staníc, uloženie 
 • prehrávateľné formáty: MP3 
 • možnosť pripojiť pamäť: USB / micro SD (FAT32, max.32 GB) 
 • XTRA BASS: 1x passive Sub-Bass 
 • diaľkové ovládanie prehrávača hudby mobilných zariadení: áno 
 • zabudovaný mikrofón: áno 
 • ozvučenie telefonického hovoru: áno 
 • zvukové hlásenie pri zmene režimu: v anglickom jazyku 
 • zabudovaný akumulátor: Li-ion 18650 / 3,7 V / ~1800 mAh 
 • príslušenstvo: USB-C nabíjací kábel 
 • napájanie: zabudovaný akumulátor s automatickým nabíjaním 
 • rozmery: 110 x 131 x 110 mm 
 • hmotnosť: 0,52 kg 
 • opcionálne príslušenstvo: odporúčané nabíjačky: SA 24USB, SA 50USB</t>
        </is>
      </c>
    </row>
    <row r="1067">
      <c r="A1067" s="3" t="inlineStr">
        <is>
          <t>SB 2000</t>
        </is>
      </c>
      <c r="B1067" s="2" t="inlineStr">
        <is>
          <t>Zvukový projektor, prenosný, vodotesný</t>
        </is>
      </c>
      <c r="C1067" s="1" t="n">
        <v>40.89</v>
      </c>
      <c r="D1067" s="7" t="n">
        <f>HYPERLINK("https://www.somogyi.sk/product/zvukovy-projektor-prenosny-vodotesny-sb-2000-18333","https://www.somogyi.sk/product/zvukovy-projektor-prenosny-vodotesny-sb-2000-18333")</f>
        <v>0.0</v>
      </c>
      <c r="E1067" s="7" t="n">
        <f>HYPERLINK("https://www.somogyi.sk/data/img/product_main_images/small/18333.jpg","https://www.somogyi.sk/data/img/product_main_images/small/18333.jpg")</f>
        <v>0.0</v>
      </c>
      <c r="F1067" s="2" t="inlineStr">
        <is>
          <t>5999084963514</t>
        </is>
      </c>
      <c r="G1067" s="4" t="inlineStr">
        <is>
          <t xml:space="preserve"> • reproduktor: 2 x 52 mm širokopásmový   1 x pasívny basový reproduktor 
 • frekvenčné pásmo: 100 - 20.000 Hz 
 • výstupný výkon: 2 x 8 W (Pm) 
 • bezdrôtové BT spojenie: v5.3 / 10 m max.• Bluetooth 2.402-2.480 GHz ERP ≤2.5 mW 
 • stereo efekt: áno 
 • diaľkové ovládanie prehrávača hudby mobilných zariadení: áno 
 • zabudovaný mikrofón: áno 
 • ozvučenie telefonického hovoru: áno 
 • káblový audio vstup: Ø3,5 mm jack (stereo) 
 • zabudovaný akumulátor: Li-ion / 3.7 V / 2000 mAh 
 • doba prevádzky / nabíjania: ~10 h / ~3 h 
 • napájanie: zabudovaný akumulátorb 
 • ďalšie informácie: bezdrôtové BT TWS spojenie 
 • rozmery: 350 x 68 x 72 mm 
 • hmotnosť: 0,7 kg 
 • IP stupeň ochrany: IPX5 
 • opcionálne príslušenstvo: odporúčané nabíjačky: SA 24USB, SA 50USB</t>
        </is>
      </c>
    </row>
    <row r="1068">
      <c r="A1068" s="3" t="inlineStr">
        <is>
          <t>BTA 250</t>
        </is>
      </c>
      <c r="B1068" s="2" t="inlineStr">
        <is>
          <t>Multimediálny zosilňovač, 2x50W, BT-FM-USB</t>
        </is>
      </c>
      <c r="C1068" s="1" t="n">
        <v>91.89</v>
      </c>
      <c r="D1068" s="7" t="n">
        <f>HYPERLINK("https://www.somogyi.sk/product/multimedialny-zosilnovac-2x50w-bt-fm-usb-bta-250-17963","https://www.somogyi.sk/product/multimedialny-zosilnovac-2x50w-bt-fm-usb-bta-250-17963")</f>
        <v>0.0</v>
      </c>
      <c r="E1068" s="7" t="n">
        <f>HYPERLINK("https://www.somogyi.sk/data/img/product_main_images/small/17963.jpg","https://www.somogyi.sk/data/img/product_main_images/small/17963.jpg")</f>
        <v>0.0</v>
      </c>
      <c r="F1068" s="2" t="inlineStr">
        <is>
          <t>5999084959852</t>
        </is>
      </c>
      <c r="G1068" s="4" t="inlineStr">
        <is>
          <t xml:space="preserve"> • frekvenčné pásmo: 20 - 20.000 Hz 
 • výstupný výkon: PM 2 x 50 W / 4 Ohm • PM 2 x 25 W / 8 Ohm 
 • bezdrôtové BT spojenie: áno (v5.0 / ~10m) 
 • FM rádio: automatické vyhľadávanie staníc 
 • prehrávateľné formáty: MP3 / WMA / FLAC / WAV 
 • možnosť pripojiť pamäť: USB (FAT32, max. 32GB) 
 • stereo efekt: áno 
 • mikrofónový vstup: 2 x Ø6,3 mm, jack 
 • káblový audio vstup: 2x RCA stereo audio vstup (AUX) • 2x RCA stereo audio vstup (CD) • digitálny koaxiálny vstup (RCA) • digitálny optický vstup (TOSLINK) 
 • káblový audio výstup: 1x RCA výstup pre aktívny basový reproduktor 
 • napájanie: 230 V~ / 50 HzV • napájanie diaľkového ovládača: 2 x AAA (1,5 V) batéria, nie je príslušenstvom 
 • rozmery: 200 x 65 x 150/170 mm / 0,9 kg 
 • hmotnosť: 0,9 kg 
 • opcionálne príslušenstvo: SAL 150, BXB 10050P, BXB 100/8</t>
        </is>
      </c>
    </row>
    <row r="1069">
      <c r="A1069" s="3" t="inlineStr">
        <is>
          <t>RRT 11B</t>
        </is>
      </c>
      <c r="B1069" s="2" t="inlineStr">
        <is>
          <t>Retro kazetový rádioprijímač</t>
        </is>
      </c>
      <c r="C1069" s="1" t="n">
        <v>46.49</v>
      </c>
      <c r="D1069" s="7" t="n">
        <f>HYPERLINK("https://www.somogyi.sk/product/retro-kazetovy-radioprijimac-rrt-11b-15765","https://www.somogyi.sk/product/retro-kazetovy-radioprijimac-rrt-11b-15765")</f>
        <v>0.0</v>
      </c>
      <c r="E1069" s="7" t="n">
        <f>HYPERLINK("https://www.somogyi.sk/data/img/product_main_images/small/15765.jpg","https://www.somogyi.sk/data/img/product_main_images/small/15765.jpg")</f>
        <v>0.0</v>
      </c>
      <c r="F1069" s="2" t="inlineStr">
        <is>
          <t>5999084937997</t>
        </is>
      </c>
      <c r="G1069" s="4" t="inlineStr">
        <is>
          <t xml:space="preserve"> • reproduktor: 100 mm / 4 Ohm 
 • frekvenčné pásmo: 100 - 20.000 Hz 
 • funkcie: 11-pásmový svetový prijímač AM-FM-SW rádio • kazetový magnetofón s funkciou nahrávania a automatického zastavenia 
 • výstupný výkon: 3 W 
 • FM rádio: áno 
 • prehrávateľné formáty: MP3/WMA 
 • možnosť pripojiť pamäť: USB/SD (FAT32, max.32 GB) 
 • zabudovaný mikrofón: áno 
 • zásuvka pre slúchadlo: Ø3,5 mm jack 
 • príslušenstvo: sieťový kábel 
 • napájanie: 230 V~ / 50 Hz, 4xD/LR20 (1,5 V) batérie (nie je príslušenstvom), externý 6 V adaptér (nie je príslušenstvom) 
 • rozmery: 280 x 170 x 100 mm 
 • hmotnosť: 1,5 kg</t>
        </is>
      </c>
    </row>
    <row r="1070">
      <c r="A1070" s="3" t="inlineStr">
        <is>
          <t>BTA 215</t>
        </is>
      </c>
      <c r="B1070" s="2" t="inlineStr">
        <is>
          <t>Bezdrôtový BT zosilňovač</t>
        </is>
      </c>
      <c r="C1070" s="1" t="n">
        <v>49.39</v>
      </c>
      <c r="D1070" s="7" t="n">
        <f>HYPERLINK("https://www.somogyi.sk/product/bezdrotovy-bt-zosilnovac-bta-215-17856","https://www.somogyi.sk/product/bezdrotovy-bt-zosilnovac-bta-215-17856")</f>
        <v>0.0</v>
      </c>
      <c r="E1070" s="7" t="n">
        <f>HYPERLINK("https://www.somogyi.sk/data/img/product_main_images/small/17856.jpg","https://www.somogyi.sk/data/img/product_main_images/small/17856.jpg")</f>
        <v>0.0</v>
      </c>
      <c r="F1070" s="2" t="inlineStr">
        <is>
          <t>5999084958787</t>
        </is>
      </c>
      <c r="G1070" s="4" t="inlineStr">
        <is>
          <t xml:space="preserve"> • frekvenčné pásmo: 20 - 20.000 Hz 
 • výstupný výkon: 2 x 15 W / 4 Ohm • 2 x 10 W / 8 Ohm 
 • stereo efekt: áno 
 • regulátor vysokých a hlbokých tónov: hlasitosť a tón je možné nastaviť na zdroji signálu BT 
 • príslušenstvo: sieťový pripojovací kábel 
 • napájanie: 230 V~ / 50 Hz 
 • rozmery: 155 x 36 x 54 mm / 0,13 kg 
 • hmotnosť: 0,13 kg</t>
        </is>
      </c>
    </row>
    <row r="1071">
      <c r="A1071" s="6" t="inlineStr">
        <is>
          <t xml:space="preserve">   Zvuková technika / Multimediálny / orchestrový reprobox</t>
        </is>
      </c>
      <c r="B1071" s="6" t="inlineStr">
        <is>
          <t/>
        </is>
      </c>
      <c r="C1071" s="6" t="inlineStr">
        <is>
          <t/>
        </is>
      </c>
      <c r="D1071" s="6" t="inlineStr">
        <is>
          <t/>
        </is>
      </c>
      <c r="E1071" s="6" t="inlineStr">
        <is>
          <t/>
        </is>
      </c>
      <c r="F1071" s="6" t="inlineStr">
        <is>
          <t/>
        </is>
      </c>
      <c r="G1071" s="6" t="inlineStr">
        <is>
          <t/>
        </is>
      </c>
    </row>
    <row r="1072">
      <c r="A1072" s="3" t="inlineStr">
        <is>
          <t>BTWORKPRO</t>
        </is>
      </c>
      <c r="B1072" s="2" t="inlineStr">
        <is>
          <t>Pracovné rádio a párty reproduktor</t>
        </is>
      </c>
      <c r="C1072" s="1" t="n">
        <v>71.99</v>
      </c>
      <c r="D1072" s="7" t="n">
        <f>HYPERLINK("https://www.somogyi.sk/product/pracovne-radio-a-party-reproduktor-btworkpro-19020","https://www.somogyi.sk/product/pracovne-radio-a-party-reproduktor-btworkpro-19020")</f>
        <v>0.0</v>
      </c>
      <c r="E1072" s="7" t="n">
        <f>HYPERLINK("https://www.somogyi.sk/data/img/product_main_images/small/19020.jpg","https://www.somogyi.sk/data/img/product_main_images/small/19020.jpg")</f>
        <v>0.0</v>
      </c>
      <c r="F1072" s="2" t="inlineStr">
        <is>
          <t>5999084970147</t>
        </is>
      </c>
      <c r="G1072" s="4" t="inlineStr">
        <is>
          <t xml:space="preserve"> • funkcie: BT / FM / USB / AUX / SLÚCHADLÁ / HODINY 
 • displej: LED 
 • bezdrôtové BT spojenie: Bluetooth 2.402-2.480 GHz ERP ≤2.5 mW • max.10 m, v5.1   EDR 
 • prehrávateľné formáty: MP3 / WMA 
 • výstupný výkon: 10 W 
 • audio vstup: Ø3,5 mm jack AUX 
 • frekvenčné pásmo: 90 - 19.000 Hz 
 •  
 • napájanie: zabudovaný akumulátor 
 • rozmery: 203 x 230 x 126 mm 
 • hmotnosť: 1,4 kg 
 • doba prevádzky / nabíjania: ~18h / ~5h</t>
        </is>
      </c>
    </row>
    <row r="1073">
      <c r="A1073" s="3" t="inlineStr">
        <is>
          <t>PAX 42BT</t>
        </is>
      </c>
      <c r="B1073" s="2" t="inlineStr">
        <is>
          <t>Aktívny orchestrový reprobox, 40 cm</t>
        </is>
      </c>
      <c r="C1073" s="1" t="n">
        <v>294.99</v>
      </c>
      <c r="D1073" s="7" t="n">
        <f>HYPERLINK("https://www.somogyi.sk/product/aktivny-orchestrovy-reprobox-40-cm-pax-42bt-18186","https://www.somogyi.sk/product/aktivny-orchestrovy-reprobox-40-cm-pax-42bt-18186")</f>
        <v>0.0</v>
      </c>
      <c r="E1073" s="7" t="n">
        <f>HYPERLINK("https://www.somogyi.sk/data/img/product_main_images/small/18186.jpg","https://www.somogyi.sk/data/img/product_main_images/small/18186.jpg")</f>
        <v>0.0</v>
      </c>
      <c r="F1073" s="2" t="inlineStr">
        <is>
          <t>5999084962081</t>
        </is>
      </c>
      <c r="G1073" s="4" t="inlineStr">
        <is>
          <t xml:space="preserve"> • prevedenie reproboxu: 2-pásmový basreflex 
 • multifunkčný digitálny displej: áno 
 • bezdrôtové BT spojenie: BT TWS spojenie (v5.0 / max.10 m) • Bluetooth 2.402-2.480 GHz ERP ≤2.5 mW 
 • FM rádio: automatické vyhľadávanie a uloženie staníc 
 • prehrávateľné formáty: MP3-WMA-FLAC-WAV-APE 
 • zabudovaný zosilňovač: áno 
 • výstupný výkon: Pm / Pn: 400 / 250 W 
 • pripojiteľné zariadenie: USB/SD, BT, FM, MIC, LINE 
 • regulátor hlasitosti: áno 
 • mikrofónový vstup: ∅6,3 mm   XLR 
 • audio vstup: 2 x RCA   XLR 
 • rozmer reproduktora: basový: ∅380 mm, výškový: ∅44 mm 
 • impedancia reproduktora: 4 Ω 
 • frekvenčné pásmo: 35 - 20.000 Hz 
 • materiál reproboxu: ABS plast 
 • rukoväť: áno 
 • možnosť pripevnenia na stojan: áno (HT 900, opcia) 
 • príslušenstvo: diaľkový ovládač s batériou (CR 2025), 3.5/3.5mm audio kábel 
 • napájanie: 230 V~ / 50 Hz 
 • priemer tyče: ∅35 mm 
 •  
 • rozmer / hmotnosť: 45 x 71 x 37 cm / 18,5 kg</t>
        </is>
      </c>
    </row>
    <row r="1074">
      <c r="A1074" s="3" t="inlineStr">
        <is>
          <t>PAR 2200BT</t>
        </is>
      </c>
      <c r="B1074" s="2" t="inlineStr">
        <is>
          <t>Party reprobox, 2 x 20 cm, aku, BT, LED</t>
        </is>
      </c>
      <c r="C1074" s="1" t="n">
        <v>233.9</v>
      </c>
      <c r="D1074" s="7" t="n">
        <f>HYPERLINK("https://www.somogyi.sk/product/party-reprobox-2-x-20-cm-aku-bt-led-par-2200bt-17900","https://www.somogyi.sk/product/party-reprobox-2-x-20-cm-aku-bt-led-par-2200bt-17900")</f>
        <v>0.0</v>
      </c>
      <c r="E1074" s="7" t="n">
        <f>HYPERLINK("https://www.somogyi.sk/data/img/product_main_images/small/17900.jpg","https://www.somogyi.sk/data/img/product_main_images/small/17900.jpg")</f>
        <v>0.0</v>
      </c>
      <c r="F1074" s="2" t="inlineStr">
        <is>
          <t>5999084959227</t>
        </is>
      </c>
      <c r="G1074" s="4" t="inlineStr">
        <is>
          <t xml:space="preserve"> • prevedenie reproboxu: dvojitý 2-pásmový bass-reflex 
 • multifunkčný digitálny displej: áno 
 • bezdrôtové BT spojenie: v2.1 / max.10 m • Bluetooth 2.402-2.480 GHz ERP ≤2.5 mW 
 • FM rádio: automatické vyhľadávanie, uloženie rozhl. staníc 
 • MP3 prehrávač: áno 
 • prehrávateľné formáty: MP3 
 • výstupný výkon: Pm / Pn 120 W / 80 W (AC)   •   Pm / Pn 100W / 60 W (DC) 
 • KARAOKE funkcia: áno 
 • pripojiteľné zariadenie: USB / SD (FAT32, max.32 GB) 
 • echo efekt mikrofónu: áno 
 • regulátor hlasitosti: áno 
 • mikrofónový vstup: 2 x Ø6,3 mm, jack 
 • audio vstup: 2x RCA AUX (LINE IN) 
 • rozmer reproduktora: basový reproduktor: 2 x 8" (185 mm) / výškový reproduktor: 2 x 2" (50 mm) 
 • impedancia reproduktora: basový reproduktor: 4 Ohm / výškový reproduktor: 6 Ohm 
 • frekvenčné pásmo: 38 - 20.000 Hz 
 • zabudovaný akumulátor: áno 
 • príslušenstvo: diaľkový ovládač, sieťový kábel, audio kábel 
 • opcionálne príslušenstvo: typ zabudovateľného akumulátora: RT 1245E 
 • rozmer / hmotnosť: 310/250 x 640 x 380 mm / 10,6 kg</t>
        </is>
      </c>
    </row>
    <row r="1075">
      <c r="A1075" s="3" t="inlineStr">
        <is>
          <t>BTWORKY</t>
        </is>
      </c>
      <c r="B1075" s="2" t="inlineStr">
        <is>
          <t>Pracovné rádio a párty reproduktor</t>
        </is>
      </c>
      <c r="C1075" s="1" t="n">
        <v>38.29</v>
      </c>
      <c r="D1075" s="7" t="n">
        <f>HYPERLINK("https://www.somogyi.sk/product/pracovne-radio-a-party-reproduktor-btworky-18443","https://www.somogyi.sk/product/pracovne-radio-a-party-reproduktor-btworky-18443")</f>
        <v>0.0</v>
      </c>
      <c r="E1075" s="7" t="n">
        <f>HYPERLINK("https://www.somogyi.sk/data/img/product_main_images/small/18443.jpg","https://www.somogyi.sk/data/img/product_main_images/small/18443.jpg")</f>
        <v>0.0</v>
      </c>
      <c r="F1075" s="2" t="inlineStr">
        <is>
          <t>5999084964610</t>
        </is>
      </c>
      <c r="G1075" s="4" t="inlineStr">
        <is>
          <t xml:space="preserve"> • prevedenie reproboxu: bass-reflex 
 • multifunkčný digitálny displej: áno 
 • FM rádio: s automatickým vyhľadávaním a ukladaním staníc 
 • prehrávateľné formáty: MP3 
 • výstupný výkon: 8 W 
 • KARAOKE funkcia: áno 
 • pripojiteľné zariadenie: USB / microSD (FAT32, max. 64 GB) 
 • echo efekt mikrofónu: áno 
 • regulátor hlasitosti: áno 
 • mikrofónový vstup: Ø6,3 mm, jack 
 • audio vstup: Ø3,5 mm jack 
 • rozmer reproduktora: 5.25” (130 mm) širokopásmový 
 • frekvenčné pásmo: 90 - 20.000 Hz 
 • zabudovaný akumulátor: Li-ion 3,7 V / 3000 mAh 
 • napájanie: zabudovaný akumulátor 
 • rozmery: 325 x 225 x 150 mm 
 • hmotnosť: 1,4 kg 
 • doba prevádzky / nabíjania: ~20 h / ~5 h 
 • opcionálne príslušenstvo: odporúčané nabíjačky: SA 24USB, SA 50USB</t>
        </is>
      </c>
    </row>
    <row r="1076">
      <c r="A1076" s="3" t="inlineStr">
        <is>
          <t>BT4000</t>
        </is>
      </c>
      <c r="B1076" s="2" t="inlineStr">
        <is>
          <t>Bezdrôtový reproduktor</t>
        </is>
      </c>
      <c r="C1076" s="1" t="n">
        <v>40.49</v>
      </c>
      <c r="D1076" s="7" t="n">
        <f>HYPERLINK("https://www.somogyi.sk/product/bezdrotovy-reproduktor-bt4000-18455","https://www.somogyi.sk/product/bezdrotovy-reproduktor-bt4000-18455")</f>
        <v>0.0</v>
      </c>
      <c r="E1076" s="7" t="n">
        <f>HYPERLINK("https://www.somogyi.sk/data/img/product_main_images/small/18455.jpg","https://www.somogyi.sk/data/img/product_main_images/small/18455.jpg")</f>
        <v>0.0</v>
      </c>
      <c r="F1076" s="2" t="inlineStr">
        <is>
          <t>5999084964733</t>
        </is>
      </c>
      <c r="G1076" s="4" t="inlineStr">
        <is>
          <t xml:space="preserve"> • prevedenie reproboxu: bass-reflex box 
 • ozvučenie telefonického hovoru: áno (so zabudovaným mikrofónom) 
 • zabudovaný zosilňovač: trieda D 
 • výstupný výkon: 2 x 8 W 
 • regulátor hlasitosti: áno 
 • audio vstup: AUX: Ø3,5 mm 
 • rozmer reproduktora: 2 x 2,5” (63 mm) 
 • frekvenčné pásmo: 90 - 20.000 Hz 
 •  
 • napájanie: zabudovaný akumulátor (Li-ion 18650) 
 • rozmery: 273 x 152 x 78 mm 
 • hmotnosť: 1,15 kg 
 • doba prevádzky / nabíjania: ~18 h / ~8 h 
 • charakteristiky: tlačidlá „Soft Touch” 
 • opcionálne príslušenstvo: odporúčané nabíjačky: SA 24USB, SA 50USB</t>
        </is>
      </c>
    </row>
    <row r="1077">
      <c r="A1077" s="3" t="inlineStr">
        <is>
          <t>HT 901</t>
        </is>
      </c>
      <c r="B1077" s="2" t="inlineStr">
        <is>
          <t>Objímka k stojanu reproboxov</t>
        </is>
      </c>
      <c r="C1077" s="1" t="n">
        <v>7.99</v>
      </c>
      <c r="D1077" s="7" t="n">
        <f>HYPERLINK("https://www.somogyi.sk/product/objimka-k-stojanu-reproboxov-ht-901-8009","https://www.somogyi.sk/product/objimka-k-stojanu-reproboxov-ht-901-8009")</f>
        <v>0.0</v>
      </c>
      <c r="E1077" s="7" t="n">
        <f>HYPERLINK("https://www.somogyi.sk/data/img/product_main_images/small/08009.jpg","https://www.somogyi.sk/data/img/product_main_images/small/08009.jpg")</f>
        <v>0.0</v>
      </c>
      <c r="F1077" s="2" t="inlineStr">
        <is>
          <t>5998312769645</t>
        </is>
      </c>
      <c r="G1077" s="4" t="inlineStr">
        <is>
          <t xml:space="preserve"> • nosnosť: 40 kg 
 • priemer tyče: Ø36 x 99 mm, podstavec:  Ø110 mm</t>
        </is>
      </c>
    </row>
    <row r="1078">
      <c r="A1078" s="3" t="inlineStr">
        <is>
          <t>PAS10W43S</t>
        </is>
      </c>
      <c r="B1078" s="2" t="inlineStr">
        <is>
          <t>Profesionálny reprobox, 25 cm basový reproduktor</t>
        </is>
      </c>
      <c r="C1078" s="1" t="n">
        <v>507.9</v>
      </c>
      <c r="D1078" s="7" t="n">
        <f>HYPERLINK("https://www.somogyi.sk/product/profesionalny-reprobox-25-cm-basovy-reproduktor-pas10w43s-18685","https://www.somogyi.sk/product/profesionalny-reprobox-25-cm-basovy-reproduktor-pas10w43s-18685")</f>
        <v>0.0</v>
      </c>
      <c r="E1078" s="7" t="n">
        <f>HYPERLINK("https://www.somogyi.sk/data/img/product_main_images/small/18685.jpg","https://www.somogyi.sk/data/img/product_main_images/small/18685.jpg")</f>
        <v>0.0</v>
      </c>
      <c r="F1078" s="2" t="inlineStr">
        <is>
          <t>5999084967031</t>
        </is>
      </c>
      <c r="G1078" s="4" t="inlineStr">
        <is>
          <t xml:space="preserve"> • prevedenie reproboxu: 2-pásmový aktívny bass-reflex 
 • bezdrôtové BT spojenie: TWS, 10 m max. 
 • zabudovaný zosilňovač: áno, Class-D 
 • výstupný výkon: 800 W / 400 W 
 • regulátor hlasitosti: áno 
 • mikrofónový vstup: Ø6,3 mm   XLR 
 • audio vstup: Ø6,3 mm   XLR, 2 x RCA 
 • výstup pre reproduktor: Speakon reproduktorová zásuvka 
 • rozmer reproduktora: basový: ∅ 250 mm, výškový: ∅ 7,5 cm x 4 
 • frekvenčné pásmo: 40 - 20.000 Hz 
 • materiál reproboxu: MDF 
 • rukoväť: áno 
 • príslušenstvo: stojan, sieťový kábel, Speakon kábel 
 • napájanie: 100 - 240 V~ / 50/60 Hz 
 • hmotnosť: subwoofer: 14,5 kg / satellite: 1,4 kg</t>
        </is>
      </c>
    </row>
    <row r="1079">
      <c r="A1079" s="3" t="inlineStr">
        <is>
          <t>PAR 219BT</t>
        </is>
      </c>
      <c r="B1079" s="2" t="inlineStr">
        <is>
          <t>Prenosný party reprobox</t>
        </is>
      </c>
      <c r="C1079" s="1" t="n">
        <v>129.9</v>
      </c>
      <c r="D1079" s="7" t="n">
        <f>HYPERLINK("https://www.somogyi.sk/product/prenosny-party-reprobox-par-219bt-16913","https://www.somogyi.sk/product/prenosny-party-reprobox-par-219bt-16913")</f>
        <v>0.0</v>
      </c>
      <c r="E1079" s="7" t="n">
        <f>HYPERLINK("https://www.somogyi.sk/data/img/product_main_images/small/16913.jpg","https://www.somogyi.sk/data/img/product_main_images/small/16913.jpg")</f>
        <v>0.0</v>
      </c>
      <c r="F1079" s="2" t="inlineStr">
        <is>
          <t>5999084949457</t>
        </is>
      </c>
      <c r="G1079" s="4" t="inlineStr">
        <is>
          <t xml:space="preserve"> • prevedenie reproboxu: 2 pásmový bass-reflex 
 • multifunkčný digitálny displej: áno 
 • bezdrôtové BT spojenie: v4.2 / 10m max. • Bluetooth 2.402-2.480 GHz ERP ≤2.5 mW 
 • FM rádio: automatické ladenie, uloženie staníc 
 • MP3 prehrávač: áno 
 • prehrávateľné formáty: MP3 / WMA 
 • zabudovaný zosilňovač: áno 
 • výstupný výkon: 80 W / 60 W (hudobný / menovitý) 
 • KARAOKE funkcia: áno 
 • pripojiteľné zariadenie: USB / microSD, (max. 32 GB) 
 • pripojenie  USB/SD zariadenia: áno 
 • echo efekt mikrofónu: áno 
 • regulátor hlasitosti: áno 
 • regulátor vysokých a hlbokých tónov: áno 
 • mikrofónový vstup: 1 x Ø6,3 mm, jack 
 • audio vstup: MIC, GUITAR, AUX 
 • rozmer reproduktora: basový: 2 x 8” (200 mm) / výškový: 1” (25,4 mm) 
 • frekvenčné pásmo: 45 - 20000 Hz 
 • materiál reproboxu: masívny plast 
 • rukoväť: áno 
 • zabudovaný akumulátor: áno 
 • príslušenstvo: diaľkový ovládač (CR2025, 3V gombíková batéria, je príslušenstvom), sieťová nabíjačka 
 • napájanie: zabudovaný akumulátor 
 • rozmer / hmotnosť: 290/250 x 580x300 mm / 6,6 kg</t>
        </is>
      </c>
    </row>
    <row r="1080">
      <c r="A1080" s="3" t="inlineStr">
        <is>
          <t>PAS8W42S</t>
        </is>
      </c>
      <c r="B1080" s="2" t="inlineStr">
        <is>
          <t>Profesionálny reprobox, 20 cm</t>
        </is>
      </c>
      <c r="C1080" s="1" t="n">
        <v>345.9</v>
      </c>
      <c r="D1080" s="7" t="n">
        <f>HYPERLINK("https://www.somogyi.sk/product/profesionalny-reprobox-20-cm-pas8w42s-18705","https://www.somogyi.sk/product/profesionalny-reprobox-20-cm-pas8w42s-18705")</f>
        <v>0.0</v>
      </c>
      <c r="E1080" s="7" t="n">
        <f>HYPERLINK("https://www.somogyi.sk/data/img/product_main_images/small/18705.jpg","https://www.somogyi.sk/data/img/product_main_images/small/18705.jpg")</f>
        <v>0.0</v>
      </c>
      <c r="F1080" s="2" t="inlineStr">
        <is>
          <t>5999084967239</t>
        </is>
      </c>
      <c r="G1080" s="4" t="inlineStr">
        <is>
          <t xml:space="preserve"> • prevedenie reproboxu: 2-pásmový aktívny bass-reflex 
 •  
 • výstupný výkon: 600 W / 200 W (Maximum/Music / Normal/RMS) 
 • mikrofónový vstup: 2 x Ø6,3 mm   XLR 
 • audio vstup: MIC1-2 XLR/6.3mm, LINE1-2 XLR/6.3mm, 3.5mm/2xRCA/BT 
 • audio výstup: LINE XLR 
 • rozmer reproduktora: 4 x 2" širokopásmový neodýmový reproduktor, 8" basový reproduktor s veľkou zvukovou cievkou 
 • frekvenčné pásmo: 50 - 19.000 Hz 
 •  
 • napájanie: 100 - 240 V~ / 50/60 Hz 
 • hmotnosť: subwoofer: 13 kg 
 •  
 • charakteristiky: dá sa zložiť v 3 rôznych výškach • stabilná konštrukcia, ktorá zaberá málo miesta • jednoduché premiestnenie, kompaktné riešenie</t>
        </is>
      </c>
    </row>
    <row r="1081">
      <c r="A1081" s="3" t="inlineStr">
        <is>
          <t>PAR20BTC</t>
        </is>
      </c>
      <c r="B1081" s="2" t="inlineStr">
        <is>
          <t>Párty reprobox, 20 cm</t>
        </is>
      </c>
      <c r="C1081" s="1" t="n">
        <v>76.79</v>
      </c>
      <c r="D1081" s="7" t="n">
        <f>HYPERLINK("https://www.somogyi.sk/product/party-reprobox-20-cm-par20btc-18927","https://www.somogyi.sk/product/party-reprobox-20-cm-par20btc-18927")</f>
        <v>0.0</v>
      </c>
      <c r="E1081" s="7" t="n">
        <f>HYPERLINK("https://www.somogyi.sk/data/img/product_main_images/small/18927.jpg","https://www.somogyi.sk/data/img/product_main_images/small/18927.jpg")</f>
        <v>0.0</v>
      </c>
      <c r="F1081" s="2" t="inlineStr">
        <is>
          <t>5999084969219</t>
        </is>
      </c>
      <c r="G1081" s="4" t="inlineStr">
        <is>
          <t xml:space="preserve"> • prevedenie reproboxu: 2-pásmový bassz-reflex 
 •  
 • prehrávateľné formáty: MP3 
 • výstupný výkon: 40 W / 25 W (hudobný / nominálny) 
 •  
 • mikrofónový vstup: 1 x Ø6,3 mm, jack 
 • audio vstup: 1 x Ø3,5 mm, jack 
 •  
 • frekvenčné pásmo: 50 - 20000 Hz 
 •  
 • napájanie: zabudovaný akumulátor 
 • rozmery: 300 x 420 x 220 mm 
 • hmotnosť: 2,7 kg 
 • ďalšie informácie: odporúčané nabíjačky: SA 24USB, SA 50USB</t>
        </is>
      </c>
    </row>
    <row r="1082">
      <c r="A1082" s="3" t="inlineStr">
        <is>
          <t>HT 900</t>
        </is>
      </c>
      <c r="B1082" s="2" t="inlineStr">
        <is>
          <t>Stojan k orchestrovému reproboxu</t>
        </is>
      </c>
      <c r="C1082" s="1" t="n">
        <v>32.99</v>
      </c>
      <c r="D1082" s="7" t="n">
        <f>HYPERLINK("https://www.somogyi.sk/product/stojan-k-orchestrovemu-reproboxu-ht-900-7201","https://www.somogyi.sk/product/stojan-k-orchestrovemu-reproboxu-ht-900-7201")</f>
        <v>0.0</v>
      </c>
      <c r="E1082" s="7" t="n">
        <f>HYPERLINK("https://www.somogyi.sk/data/img/product_main_images/small/07201.jpg","https://www.somogyi.sk/data/img/product_main_images/small/07201.jpg")</f>
        <v>0.0</v>
      </c>
      <c r="F1082" s="2" t="inlineStr">
        <is>
          <t>5998312761939</t>
        </is>
      </c>
      <c r="G1082" s="4" t="inlineStr">
        <is>
          <t xml:space="preserve"> • nosnosť: 40 kg 
 • materiál: železo + hliník 
 • priemer tyče: Ø 35 mm 
 • rozmer / hmotnosť: výška:  110 - 180 cm / 2,3 kg</t>
        </is>
      </c>
    </row>
    <row r="1083">
      <c r="A1083" s="3" t="inlineStr">
        <is>
          <t>PAX 42PRO</t>
        </is>
      </c>
      <c r="B1083" s="2" t="inlineStr">
        <is>
          <t>Orchestrový reprobox, 40 cm</t>
        </is>
      </c>
      <c r="C1083" s="1" t="n">
        <v>204.99</v>
      </c>
      <c r="D1083" s="7" t="n">
        <f>HYPERLINK("https://www.somogyi.sk/product/orchestrovy-reprobox-40-cm-pax-42pro-18187","https://www.somogyi.sk/product/orchestrovy-reprobox-40-cm-pax-42pro-18187")</f>
        <v>0.0</v>
      </c>
      <c r="E1083" s="7" t="n">
        <f>HYPERLINK("https://www.somogyi.sk/data/img/product_main_images/small/18187.jpg","https://www.somogyi.sk/data/img/product_main_images/small/18187.jpg")</f>
        <v>0.0</v>
      </c>
      <c r="F1083" s="2" t="inlineStr">
        <is>
          <t>5999084962098</t>
        </is>
      </c>
      <c r="G1083" s="4" t="inlineStr">
        <is>
          <t xml:space="preserve"> • prevedenie reproboxu: 2-pásmový basreflex 
 • výstupný výkon: Pm / Pn: 400 / 250 W 
 • rozmer reproduktora: basový: ∅380 mm, výškový: ∅44 mm 
 • impedancia reproduktora: N8 Ω 
 • frekvenčné pásmo: 35 - 20.000 Hz 
 • materiál reproboxu: ABS plast 
 • rukoväť: áno 
 • možnosť pripevnenia na stojan: áno (HT 900, opcia) 
 • priemer tyče: ∅35 mm 
 •  
 • ďalšie informácie: možno pripojiť k aktívnemu reproduktoru alebo zosilňovaču • ideálny pár: aktívny reprobox PAX 42BT (opcia) • vstup: zásuvka reproduktora Speakon 
 • rozmer / hmotnosť: 45 x 71 x 37 cm / 16,5 kg</t>
        </is>
      </c>
    </row>
    <row r="1084">
      <c r="A1084" s="3" t="inlineStr">
        <is>
          <t>PAS12W243ST</t>
        </is>
      </c>
      <c r="B1084" s="2" t="inlineStr">
        <is>
          <t>Stojan na reproduktor PAS12W243S , 25 mm priemer</t>
        </is>
      </c>
      <c r="C1084" s="1" t="n">
        <v>16.49</v>
      </c>
      <c r="D1084" s="7" t="n">
        <f>HYPERLINK("https://www.somogyi.sk/product/stojan-na-reproduktor-pas12w243s-25-mm-priemer-pas12w243st-19115","https://www.somogyi.sk/product/stojan-na-reproduktor-pas12w243s-25-mm-priemer-pas12w243st-19115")</f>
        <v>0.0</v>
      </c>
      <c r="E1084" s="7" t="n">
        <f>HYPERLINK("https://www.somogyi.sk/data/img/product_main_images/small/19115.jpg","https://www.somogyi.sk/data/img/product_main_images/small/19115.jpg")</f>
        <v>0.0</v>
      </c>
      <c r="F1084" s="2" t="inlineStr">
        <is>
          <t>5999084971083</t>
        </is>
      </c>
      <c r="G1084" s="4" t="inlineStr">
        <is>
          <t xml:space="preserve"> • Stojan na príslušenstvo SAL PAS12W243ST pre stereo profesionálny zvukový systém PAS12W243S, nie je možné zakúpiť samostatne</t>
        </is>
      </c>
    </row>
    <row r="1085">
      <c r="A1085" s="3" t="inlineStr">
        <is>
          <t>PAS12W243S</t>
        </is>
      </c>
      <c r="B1085" s="2" t="inlineStr">
        <is>
          <t>Profesionálny zvukový systém</t>
        </is>
      </c>
      <c r="C1085" s="1" t="n">
        <v>723.9</v>
      </c>
      <c r="D1085" s="7" t="n">
        <f>HYPERLINK("https://www.somogyi.sk/product/profesionalny-zvukovy-system-pas12w243s-19114","https://www.somogyi.sk/product/profesionalny-zvukovy-system-pas12w243s-19114")</f>
        <v>0.0</v>
      </c>
      <c r="E1085" s="7" t="n">
        <f>HYPERLINK("https://www.somogyi.sk/data/img/product_main_images/small/19114.jpg","https://www.somogyi.sk/data/img/product_main_images/small/19114.jpg")</f>
        <v>0.0</v>
      </c>
      <c r="F1085" s="2" t="inlineStr">
        <is>
          <t>5999084971076</t>
        </is>
      </c>
      <c r="G1085" s="4" t="inlineStr">
        <is>
          <t xml:space="preserve"> • gigantický výkon (800 W) 
 • mimoriadne silný, dynamický zvuk 
 • 2-pásmový aktívny bass-reflex zvukový systém 
 • 9 zabudovaných reproduktorov 
 • 8x3" širokopásmový neodymový reproduktor 
 • 12" (300 mm) basový reproduktor s veľkou zvukovou cievkou 
 • vysokoúčinný zosilňovač Class-D 
 • bezdrôtové pripojenie BT TWS 
 • možnosť rozšírenia na stereo zvukový systém s dvojitým výkonom  bezdrôtovým spárovaním dvoch rovnakých zvukových systémov 
 • je možné zapojiť ľubovoľný počet reproboxov 
 • farebný displej s intuitívnym grafickým menu    
 • ovládanie nízkych, stredných a vysokých tónov na kanál   
 • digitálny zvukový procesor DSP 
 • LED kontrolka preťaženia 
 • vstupy: MIC XLR/6,3 mm, LINE XLR/RCA/6,3 mm, BT  
 • výstupy: LINE XLR, reproduktorové konektory Speakon 
 • malé rozmery, stabilná konštrukcia 
 • ľahko prenosné, kompaktné riešenie 
 • masívny drevený MDF reprobox 
 • príslušenstvo: dva stojany, napájací kábel, dva káble Speakon</t>
        </is>
      </c>
    </row>
    <row r="1086">
      <c r="A1086" s="3" t="inlineStr">
        <is>
          <t>PAR2100BT</t>
        </is>
      </c>
      <c r="B1086" s="2" t="inlineStr">
        <is>
          <t>Párty reprobox, 2 x 15 cm</t>
        </is>
      </c>
      <c r="C1086" s="1" t="n">
        <v>161.9</v>
      </c>
      <c r="D1086" s="7" t="n">
        <f>HYPERLINK("https://www.somogyi.sk/product/party-reprobox-2-x-15-cm-par2100bt-18979","https://www.somogyi.sk/product/party-reprobox-2-x-15-cm-par2100bt-18979")</f>
        <v>0.0</v>
      </c>
      <c r="E1086" s="7" t="n">
        <f>HYPERLINK("https://www.somogyi.sk/data/img/product_main_images/small/18979.jpg","https://www.somogyi.sk/data/img/product_main_images/small/18979.jpg")</f>
        <v>0.0</v>
      </c>
      <c r="F1086" s="2" t="inlineStr">
        <is>
          <t>5999084969738</t>
        </is>
      </c>
      <c r="G1086" s="4" t="inlineStr">
        <is>
          <t xml:space="preserve"> • prevedenie reproboxu: dvojitý 2-pásmový bass-reflex 
 • displej: biely digitálny displej 
 • bezdrôtové BT spojenie: BT TWS (≤2.5 mW / ~10 m max. ), dva rovnaké reproduktory je možné spárovať bezdrôtovo 
 •  
 • prehrávateľné formáty: MP3 
 • výstupný výkon: 80 W / 60 W (Pm/Pn) 
 •  
 • pripojenie  USB/SD zariadenia: zvuk mikrofónu je možné nahrávať na úložisko USB/microSD 
 •  
 • mikrofónový vstup: 2 x Ø6,3 mm, jack 
 • audio vstup: 1 x Ø3,5 mm, jack 
 • frekvenčné pásmo: 60 – 20.000 Hz 
 •  
 • napájanie: zabudovaný akumulátor • napájanie diaľkového ovládača: 2 x AAA (1,5 V) batéria, nie je príslušenstvom 
 • rozmery: 250 x 566 x 260 mm 
 • hmotnosť: 5,6 kg 
 • doba prevádzky / nabíjania: ~26 h / ~13 h 
 • vlastnosť: automatické nabíjanie s LED kontrolkou • automatické stíšenie a zvýšenie hlasitosti hudby počas hlasového oznámenia</t>
        </is>
      </c>
    </row>
    <row r="1087">
      <c r="A1087" s="3" t="inlineStr">
        <is>
          <t>PAR 20BT</t>
        </is>
      </c>
      <c r="B1087" s="2" t="inlineStr">
        <is>
          <t>Party reprobox, 2-pásmový,
so zabud. akumulátorom a LED svetlom</t>
        </is>
      </c>
      <c r="C1087" s="1" t="n">
        <v>80.99</v>
      </c>
      <c r="D1087" s="7" t="n">
        <f>HYPERLINK("https://www.somogyi.sk/product/party-reprobox-2-pasmovy-so-zabud-akumulatorom-a-led-svetlom-par-20bt-16384","https://www.somogyi.sk/product/party-reprobox-2-pasmovy-so-zabud-akumulatorom-a-led-svetlom-par-20bt-16384")</f>
        <v>0.0</v>
      </c>
      <c r="E1087" s="7" t="n">
        <f>HYPERLINK("https://www.somogyi.sk/data/img/product_main_images/small/16384.jpg","https://www.somogyi.sk/data/img/product_main_images/small/16384.jpg")</f>
        <v>0.0</v>
      </c>
      <c r="F1087" s="2" t="inlineStr">
        <is>
          <t>5999084944162</t>
        </is>
      </c>
      <c r="G1087" s="4" t="inlineStr">
        <is>
          <t xml:space="preserve"> • prevedenie reproboxu: 2 pásmový bas-reflex 
 • multifunkčný digitálny displej: áno 
 • bezdrôtové BT spojenie: v4.2 / max.10 m • Bluetooth 2.402-2.480 GHz ERP ≤2.5 mW 
 • FM rádio: áno 
 • MP3 prehrávač: áno 
 • prehrávateľné formáty: MP3 
 • zabudovaný zosilňovač: áno 
 • výstupný výkon: 40 W / 25 W (hudobný / menovitý) 
 • KARAOKE funkcia: áno 
 • regulátor hlasitosti: áno 
 • regulátor vysokých a hlbokých tónov: equalizér funkcia 
 • mikrofónový vstup: 1 x Ø6,3 mm, jack 
 • audio vstup: 1 x Ø3,5 mm, jack 
 • impedancia reproduktora: 3 Ohm 
 • frekvenčné pásmo: 50 - 20000 Hz 
 • zabudovaný akumulátor: áno 
 • napájanie: zabudovaný akumulátor 
 • rozmer / hmotnosť: 300 x 420 x 220 mm / 2,7 kg</t>
        </is>
      </c>
    </row>
    <row r="1088">
      <c r="A1088" s="3" t="inlineStr">
        <is>
          <t>PAR2400BT</t>
        </is>
      </c>
      <c r="B1088" s="2" t="inlineStr">
        <is>
          <t>Párty reprobox, 20 cm</t>
        </is>
      </c>
      <c r="C1088" s="1" t="n">
        <v>225.9</v>
      </c>
      <c r="D1088" s="7" t="n">
        <f>HYPERLINK("https://www.somogyi.sk/product/party-reprobox-20-cm-par2400bt-18980","https://www.somogyi.sk/product/party-reprobox-20-cm-par2400bt-18980")</f>
        <v>0.0</v>
      </c>
      <c r="E1088" s="7" t="n">
        <f>HYPERLINK("https://www.somogyi.sk/data/img/product_main_images/small/18980.jpg","https://www.somogyi.sk/data/img/product_main_images/small/18980.jpg")</f>
        <v>0.0</v>
      </c>
      <c r="F1088" s="2" t="inlineStr">
        <is>
          <t>5999084969745</t>
        </is>
      </c>
      <c r="G1088" s="4" t="inlineStr">
        <is>
          <t xml:space="preserve"> • prevedenie reproboxu: dvojitý 2-pásmový bass-reflex 
 • displej: biely digitálny displej 
 • bezdrôtové BT spojenie: BT TWS (≤2.5 mW / ~10 m max. ), dva rovnaké reproduktory je možné spárovať bezdrôtovo 
 •  
 • výstupný výkon: 160 W / 120 W (Pm/Pn) 
 •  
 • pripojenie  USB/SD zariadenia: Zvuk mikrofónu je možné nahrávať na úložisko USB/microSD 
 •  
 • mikrofónový vstup: 2 x Ø6,3 mm, jack 
 • audio vstup: 1 x Ø3,5 mm, jack LINE / 1 x Ø6,3 mm, jack gitara 
 • frekvenčné pásmo: 45 – 20.000 Hz 
 • zabudovaný akumulátor: 12 V / 9 Ah / ~108 Wh 
 • napájanie: zabudovaný akumulátor • napájanie diaľkového ovládača: 2 x AAA (1,5 V) batéria, nie je príslušenstvom 
 • rozmery: 320 x 710 x 330 mm 
 • hmotnosť: 12,5 kg 
 • doba prevádzky / nabíjania: ~13 h / ~13 h 
 • vlastnosť: automatické nabíjanie s LED kontrolkou</t>
        </is>
      </c>
    </row>
    <row r="1089">
      <c r="A1089" s="3" t="inlineStr">
        <is>
          <t>PAP43BT</t>
        </is>
      </c>
      <c r="B1089" s="2" t="inlineStr">
        <is>
          <t>Profesionálny reprobox, 38 cm</t>
        </is>
      </c>
      <c r="C1089" s="1" t="n">
        <v>377.9</v>
      </c>
      <c r="D1089" s="7" t="n">
        <f>HYPERLINK("https://www.somogyi.sk/product/profesionalny-reprobox-38-cm-pap43bt-18706","https://www.somogyi.sk/product/profesionalny-reprobox-38-cm-pap43bt-18706")</f>
        <v>0.0</v>
      </c>
      <c r="E1089" s="7" t="n">
        <f>HYPERLINK("https://www.somogyi.sk/data/img/product_main_images/small/18706.jpg","https://www.somogyi.sk/data/img/product_main_images/small/18706.jpg")</f>
        <v>0.0</v>
      </c>
      <c r="F1089" s="2" t="inlineStr">
        <is>
          <t>5999084967246</t>
        </is>
      </c>
      <c r="G1089" s="4" t="inlineStr">
        <is>
          <t xml:space="preserve"> • prevedenie reproboxu: 2-pásmový bassz-reflex 
 • displej: alfanumerický digitálny displej 
 • bezdrôtové BT spojenie: ERP ≤2.5 mW (max.10 m) 
 • prehrávateľné formáty: MP3, APE, WAV, FLAC, WMA 
 • výstupný výkon: Pm / Pn: 1200 W / 400 W 
 • pripojiteľné zariadenie: CD/DVD prehrávač, mikrofón, hudobný nástroj, mixážny pult, počítač, mobilný telefón, USB/SD (FAT32 / 32 GB max) 
 •  
 • audio vstup: MIC XLR, LINE1-2 XLR/6.3mm/2xRCA 
 • audio výstup: LINE XLR 
 •  
 • frekvenčné pásmo: 40 - 20000 Hz 
 • materiál reproboxu: ABS 
 • možnosť pripevnenia na stojan: áno (HT 900, opcia) 
 • príslušenstvo: sieťový kábel 
 • napájanie: 100-240 V~ / 50/60 Hz 
 • rozmery: 420 x 700 x 390 mm 
 • hmotnosť: 18 kg 
 • priemer tyče: ∅35 mm</t>
        </is>
      </c>
    </row>
    <row r="1090">
      <c r="A1090" s="6" t="inlineStr">
        <is>
          <t xml:space="preserve">   Zvuková technika / Basový reproduktor</t>
        </is>
      </c>
      <c r="B1090" s="6" t="inlineStr">
        <is>
          <t/>
        </is>
      </c>
      <c r="C1090" s="6" t="inlineStr">
        <is>
          <t/>
        </is>
      </c>
      <c r="D1090" s="6" t="inlineStr">
        <is>
          <t/>
        </is>
      </c>
      <c r="E1090" s="6" t="inlineStr">
        <is>
          <t/>
        </is>
      </c>
      <c r="F1090" s="6" t="inlineStr">
        <is>
          <t/>
        </is>
      </c>
      <c r="G1090" s="6" t="inlineStr">
        <is>
          <t/>
        </is>
      </c>
    </row>
    <row r="1091">
      <c r="A1091" s="3" t="inlineStr">
        <is>
          <t>SPA 4050</t>
        </is>
      </c>
      <c r="B1091" s="2" t="inlineStr">
        <is>
          <t>Basový reproduktor</t>
        </is>
      </c>
      <c r="C1091" s="1" t="n">
        <v>86.29</v>
      </c>
      <c r="D1091" s="7" t="n">
        <f>HYPERLINK("https://www.somogyi.sk/product/basovy-reproduktor-spa-4050-4170","https://www.somogyi.sk/product/basovy-reproduktor-spa-4050-4170")</f>
        <v>0.0</v>
      </c>
      <c r="E1091" s="7" t="n">
        <f>HYPERLINK("https://www.somogyi.sk/data/img/product_main_images/small/04170.jpg","https://www.somogyi.sk/data/img/product_main_images/small/04170.jpg")</f>
        <v>0.0</v>
      </c>
      <c r="F1091" s="2" t="inlineStr">
        <is>
          <t>5998312736999</t>
        </is>
      </c>
      <c r="G1091" s="4" t="inlineStr">
        <is>
          <t xml:space="preserve"> • menovitý priemer reproduktora: 400 mm 
 • materiál kónusu: PC 
 • impedancia reproduktora: 8 Ω 
 • zaťažiteľnosť reproduktora: 230 / 160 W 
 • frekvenčné pásmo: 30 - 3000 Hz 
 • citlivosť reproduktora: 93 dB 
 • cievka: 2", 2 vrstvy 
 • teleso cievky: hliník 
 • magnet: 50 Oz</t>
        </is>
      </c>
    </row>
    <row r="1092">
      <c r="A1092" s="3" t="inlineStr">
        <is>
          <t>SPA 3040</t>
        </is>
      </c>
      <c r="B1092" s="2" t="inlineStr">
        <is>
          <t>Basový reproduktor</t>
        </is>
      </c>
      <c r="C1092" s="1" t="n">
        <v>52.29</v>
      </c>
      <c r="D1092" s="7" t="n">
        <f>HYPERLINK("https://www.somogyi.sk/product/basovy-reproduktor-spa-3040-4169","https://www.somogyi.sk/product/basovy-reproduktor-spa-3040-4169")</f>
        <v>0.0</v>
      </c>
      <c r="E1092" s="7" t="n">
        <f>HYPERLINK("https://www.somogyi.sk/data/img/product_main_images/small/04169.jpg","https://www.somogyi.sk/data/img/product_main_images/small/04169.jpg")</f>
        <v>0.0</v>
      </c>
      <c r="F1092" s="2" t="inlineStr">
        <is>
          <t>5998312736982</t>
        </is>
      </c>
      <c r="G1092" s="4" t="inlineStr">
        <is>
          <t xml:space="preserve"> • menovitý priemer reproduktora: 300 mm 
 • materiál kónusu: PC 
 • impedancia reproduktora: 8 Ω 
 • zaťažiteľnosť reproduktora: 210 / 150 W 
 • frekvenčné pásmo: 40 - 3500 Hz 
 • citlivosť reproduktora: 90 dB 
 • cievka: 1,5", 2 vrstvy 
 • teleso cievky: hliník 
 • magnet: 40 Oz</t>
        </is>
      </c>
    </row>
    <row r="1093">
      <c r="A1093" s="3" t="inlineStr">
        <is>
          <t>SPA 2030</t>
        </is>
      </c>
      <c r="B1093" s="2" t="inlineStr">
        <is>
          <t>Basový reproduktor</t>
        </is>
      </c>
      <c r="C1093" s="1" t="n">
        <v>30.79</v>
      </c>
      <c r="D1093" s="7" t="n">
        <f>HYPERLINK("https://www.somogyi.sk/product/basovy-reproduktor-spa-2030-4167","https://www.somogyi.sk/product/basovy-reproduktor-spa-2030-4167")</f>
        <v>0.0</v>
      </c>
      <c r="E1093" s="7" t="n">
        <f>HYPERLINK("https://www.somogyi.sk/data/img/product_main_images/small/04167.jpg","https://www.somogyi.sk/data/img/product_main_images/small/04167.jpg")</f>
        <v>0.0</v>
      </c>
      <c r="F1093" s="2" t="inlineStr">
        <is>
          <t>5998312736968</t>
        </is>
      </c>
      <c r="G1093" s="4" t="inlineStr">
        <is>
          <t xml:space="preserve"> • menovitý priemer reproduktora: 200 mm 
 • materiál kónusu: PC 
 • impedancia reproduktora: 8 Ω 
 • zaťažiteľnosť reproduktora: 150 / 100 W 
 • frekvenčné pásmo: 50 - 5000 Hz 
 • citlivosť reproduktora: 89 dB 
 • cievka: 1,5", 2 vrstvy 
 • teleso cievky: hliník 
 • magnet: 30 Oz</t>
        </is>
      </c>
    </row>
    <row r="1094">
      <c r="A1094" s="3" t="inlineStr">
        <is>
          <t>SPA 2530</t>
        </is>
      </c>
      <c r="B1094" s="2" t="inlineStr">
        <is>
          <t>Basový reproduktor</t>
        </is>
      </c>
      <c r="C1094" s="1" t="n">
        <v>34.79</v>
      </c>
      <c r="D1094" s="7" t="n">
        <f>HYPERLINK("https://www.somogyi.sk/product/basovy-reproduktor-spa-2530-4168","https://www.somogyi.sk/product/basovy-reproduktor-spa-2530-4168")</f>
        <v>0.0</v>
      </c>
      <c r="E1094" s="7" t="n">
        <f>HYPERLINK("https://www.somogyi.sk/data/img/product_main_images/small/04168.jpg","https://www.somogyi.sk/data/img/product_main_images/small/04168.jpg")</f>
        <v>0.0</v>
      </c>
      <c r="F1094" s="2" t="inlineStr">
        <is>
          <t>5998312736975</t>
        </is>
      </c>
      <c r="G1094" s="4" t="inlineStr">
        <is>
          <t xml:space="preserve"> • menovitý priemer reproduktora: 250 mm 
 • materiál kónusu: PC 
 • impedancia reproduktora: 8 Ω 
 • zaťažiteľnosť reproduktora: 200 / 140 W 
 • frekvenčné pásmo: 45 - 5000 Hz 
 • citlivosť reproduktora: 90 dB 
 • cievka: 1,5", 2 vrstvy 
 • teleso cievky: hliník 
 • magnet: 30 Oz</t>
        </is>
      </c>
    </row>
    <row r="1095">
      <c r="A1095" s="6" t="inlineStr">
        <is>
          <t xml:space="preserve">   Zvuková technika / Výškový reproduktor</t>
        </is>
      </c>
      <c r="B1095" s="6" t="inlineStr">
        <is>
          <t/>
        </is>
      </c>
      <c r="C1095" s="6" t="inlineStr">
        <is>
          <t/>
        </is>
      </c>
      <c r="D1095" s="6" t="inlineStr">
        <is>
          <t/>
        </is>
      </c>
      <c r="E1095" s="6" t="inlineStr">
        <is>
          <t/>
        </is>
      </c>
      <c r="F1095" s="6" t="inlineStr">
        <is>
          <t/>
        </is>
      </c>
      <c r="G1095" s="6" t="inlineStr">
        <is>
          <t/>
        </is>
      </c>
    </row>
    <row r="1096">
      <c r="A1096" s="3" t="inlineStr">
        <is>
          <t>KHS 311M</t>
        </is>
      </c>
      <c r="B1096" s="2" t="inlineStr">
        <is>
          <t>Piezo výškový reproduktor</t>
        </is>
      </c>
      <c r="C1096" s="1" t="n">
        <v>6.19</v>
      </c>
      <c r="D1096" s="7" t="n">
        <f>HYPERLINK("https://www.somogyi.sk/product/piezo-vyskovy-reproduktor-khs-311m-2677","https://www.somogyi.sk/product/piezo-vyskovy-reproduktor-khs-311m-2677")</f>
        <v>0.0</v>
      </c>
      <c r="E1096" s="7" t="n">
        <f>HYPERLINK("https://www.somogyi.sk/data/img/product_main_images/small/02677.jpg","https://www.somogyi.sk/data/img/product_main_images/small/02677.jpg")</f>
        <v>0.0</v>
      </c>
      <c r="F1096" s="2" t="inlineStr">
        <is>
          <t>5998312730010</t>
        </is>
      </c>
      <c r="G1096" s="4" t="inlineStr">
        <is>
          <t xml:space="preserve"> • vonkajší rozmer reproduktora: 110 x 110 mm 
 • impedancia reproduktora: &gt; 1000 Ω 
 • zaťažiteľnosť reproduktora: 300 W (4 Ω) / 150 W (8 Ω) max. 35 V~ 
 • frekvenčné pásmo: 2000 - 20000 Hz 
 • citlivosť reproduktora: 93 dB</t>
        </is>
      </c>
    </row>
    <row r="1097">
      <c r="A1097" s="3" t="inlineStr">
        <is>
          <t>KHS 107</t>
        </is>
      </c>
      <c r="B1097" s="2" t="inlineStr">
        <is>
          <t>Piezo výškový reproduktor</t>
        </is>
      </c>
      <c r="C1097" s="1" t="n">
        <v>4.79</v>
      </c>
      <c r="D1097" s="7" t="n">
        <f>HYPERLINK("https://www.somogyi.sk/product/piezo-vyskovy-reproduktor-khs-107-2526","https://www.somogyi.sk/product/piezo-vyskovy-reproduktor-khs-107-2526")</f>
        <v>0.0</v>
      </c>
      <c r="E1097" s="7" t="n">
        <f>HYPERLINK("https://www.somogyi.sk/data/img/product_main_images/small/02526.jpg","https://www.somogyi.sk/data/img/product_main_images/small/02526.jpg")</f>
        <v>0.0</v>
      </c>
      <c r="F1097" s="2" t="inlineStr">
        <is>
          <t>5998312728383</t>
        </is>
      </c>
      <c r="G1097" s="4" t="inlineStr">
        <is>
          <t xml:space="preserve"> • vonkajší rozmer reproduktora: 64 x 64 mm 
 • impedancia reproduktora: &gt; 1000 Ω 
 • zaťažiteľnosť reproduktora: 300 W (4 Ω) / 150 W (8 Ω) max. 35 V~ 
 • frekvenčné pásmo: 5000 - 20000 Hz 
 • citlivosť reproduktora: 104 dB</t>
        </is>
      </c>
    </row>
    <row r="1098">
      <c r="A1098" s="3" t="inlineStr">
        <is>
          <t>DPH 1417</t>
        </is>
      </c>
      <c r="B1098" s="2" t="inlineStr">
        <is>
          <t>Orchestrový výškový reproduktor, kalotový, 8 Ohm</t>
        </is>
      </c>
      <c r="C1098" s="1" t="n">
        <v>40.39</v>
      </c>
      <c r="D1098" s="7" t="n">
        <f>HYPERLINK("https://www.somogyi.sk/product/orchestrovy-vyskovy-reproduktor-kalotovy-8-ohm-dph-1417-17788","https://www.somogyi.sk/product/orchestrovy-vyskovy-reproduktor-kalotovy-8-ohm-dph-1417-17788")</f>
        <v>0.0</v>
      </c>
      <c r="E1098" s="7" t="n">
        <f>HYPERLINK("https://www.somogyi.sk/data/img/product_main_images/small/17788.jpg","https://www.somogyi.sk/data/img/product_main_images/small/17788.jpg")</f>
        <v>0.0</v>
      </c>
      <c r="F1098" s="2" t="inlineStr">
        <is>
          <t>5999084958107</t>
        </is>
      </c>
      <c r="G1098" s="4" t="inlineStr">
        <is>
          <t xml:space="preserve"> • vonkajší rozmer reproduktora: 160 x 142 mm 
 • impedancia reproduktora: 8 Ohm 
 • zaťažiteľnosť reproduktora: Pm/Pn: 150/80 W 
 • frekvenčné pásmo: 2000 - 18000 Hz 
 • citlivosť reproduktora: SPL1W/1m  96 dB 
 • cievka: 1,5" 
 • magnet: 20 Oz</t>
        </is>
      </c>
    </row>
    <row r="1099">
      <c r="A1099" s="3" t="inlineStr">
        <is>
          <t>KHS 120</t>
        </is>
      </c>
      <c r="B1099" s="2" t="inlineStr">
        <is>
          <t>Piezo výškový reproduktor</t>
        </is>
      </c>
      <c r="C1099" s="1" t="n">
        <v>10.79</v>
      </c>
      <c r="D1099" s="7" t="n">
        <f>HYPERLINK("https://www.somogyi.sk/product/piezo-vyskovy-reproduktor-khs-120-2078","https://www.somogyi.sk/product/piezo-vyskovy-reproduktor-khs-120-2078")</f>
        <v>0.0</v>
      </c>
      <c r="E1099" s="7" t="n">
        <f>HYPERLINK("https://www.somogyi.sk/data/img/product_main_images/small/02078.jpg","https://www.somogyi.sk/data/img/product_main_images/small/02078.jpg")</f>
        <v>0.0</v>
      </c>
      <c r="F1099" s="2" t="inlineStr">
        <is>
          <t>5998312723128</t>
        </is>
      </c>
      <c r="G1099" s="4" t="inlineStr">
        <is>
          <t xml:space="preserve"> • vonkajší rozmer reproduktora: 100 x 236 mm 
 • impedancia reproduktora: &gt; 1000 Ω 
 • zaťažiteľnosť reproduktora: 300 W (4 Ω) / 150 W (8 Ω) max. 35 V~ 
 • frekvenčné pásmo: 2000 - 20000 Hz 
 • citlivosť reproduktora: 92 dB</t>
        </is>
      </c>
    </row>
    <row r="1100">
      <c r="A1100" s="3" t="inlineStr">
        <is>
          <t>KHS 106</t>
        </is>
      </c>
      <c r="B1100" s="2" t="inlineStr">
        <is>
          <t>Piezo výškový reproduktor</t>
        </is>
      </c>
      <c r="C1100" s="1" t="n">
        <v>3.89</v>
      </c>
      <c r="D1100" s="7" t="n">
        <f>HYPERLINK("https://www.somogyi.sk/product/piezo-vyskovy-reproduktor-khs-106-2363","https://www.somogyi.sk/product/piezo-vyskovy-reproduktor-khs-106-2363")</f>
        <v>0.0</v>
      </c>
      <c r="E1100" s="7" t="n">
        <f>HYPERLINK("https://www.somogyi.sk/data/img/product_main_images/small/02363.jpg","https://www.somogyi.sk/data/img/product_main_images/small/02363.jpg")</f>
        <v>0.0</v>
      </c>
      <c r="F1100" s="2" t="inlineStr">
        <is>
          <t>5998312726693</t>
        </is>
      </c>
      <c r="G1100" s="4" t="inlineStr">
        <is>
          <t xml:space="preserve"> • vonkajší rozmer reproduktora: Ø 95 mm 
 • impedancia reproduktora: &gt; 1000 Ω 
 • zaťažiteľnosť reproduktora: 300 W (4 Ω) / 150 W (8 Ω) max. 35 V~ 
 • frekvenčné pásmo: 2000 - 20000 Hz 
 • citlivosť reproduktora: 90 dB</t>
        </is>
      </c>
    </row>
    <row r="1101">
      <c r="A1101" s="3" t="inlineStr">
        <is>
          <t>KHS 110</t>
        </is>
      </c>
      <c r="B1101" s="2" t="inlineStr">
        <is>
          <t>Piezo výškový reproduktor</t>
        </is>
      </c>
      <c r="C1101" s="1" t="n">
        <v>4.99</v>
      </c>
      <c r="D1101" s="7" t="n">
        <f>HYPERLINK("https://www.somogyi.sk/product/piezo-vyskovy-reproduktor-khs-110-2362","https://www.somogyi.sk/product/piezo-vyskovy-reproduktor-khs-110-2362")</f>
        <v>0.0</v>
      </c>
      <c r="E1101" s="7" t="n">
        <f>HYPERLINK("https://www.somogyi.sk/data/img/product_main_images/small/02362.jpg","https://www.somogyi.sk/data/img/product_main_images/small/02362.jpg")</f>
        <v>0.0</v>
      </c>
      <c r="F1101" s="2" t="inlineStr">
        <is>
          <t>5998312726686</t>
        </is>
      </c>
      <c r="G1101" s="4" t="inlineStr">
        <is>
          <t xml:space="preserve"> • vonkajší rozmer reproduktora: 87 x 187 mm 
 • impedancia reproduktora: &gt; 1000 Ω 
 • zaťažiteľnosť reproduktora: 300 W (4 Ω) / 150 W (8 Ω) max. 35 V~ 
 • frekvenčné pásmo: 2000 - 20000 Hz 
 • citlivosť reproduktora: 90 dB</t>
        </is>
      </c>
    </row>
    <row r="1102">
      <c r="A1102" s="3" t="inlineStr">
        <is>
          <t>DP 11</t>
        </is>
      </c>
      <c r="B1102" s="2" t="inlineStr">
        <is>
          <t>Orchestrový výškový reproduktor, kalotový, 8 Ohm</t>
        </is>
      </c>
      <c r="C1102" s="1" t="n">
        <v>16.49</v>
      </c>
      <c r="D1102" s="7" t="n">
        <f>HYPERLINK("https://www.somogyi.sk/product/orchestrovy-vyskovy-reproduktor-kalotovy-8-ohm-dp-11-17786","https://www.somogyi.sk/product/orchestrovy-vyskovy-reproduktor-kalotovy-8-ohm-dp-11-17786")</f>
        <v>0.0</v>
      </c>
      <c r="E1102" s="7" t="n">
        <f>HYPERLINK("https://www.somogyi.sk/data/img/product_main_images/small/17786.jpg","https://www.somogyi.sk/data/img/product_main_images/small/17786.jpg")</f>
        <v>0.0</v>
      </c>
      <c r="F1102" s="2" t="inlineStr">
        <is>
          <t>5999084958084</t>
        </is>
      </c>
      <c r="G1102" s="4" t="inlineStr">
        <is>
          <t xml:space="preserve"> • odolný textilný bakelitový kalotový reproduktor  
 • je potrebný k nemu výhybka  
 • 86 x 86 mm  
 • Z: 8 Ohm 
 • Pm/Pn: 120/60 W 
 • f: 2.000 – 18.000 Hz 
 • SPL1 W/1 m: 93 dB 
 • zvuková cievka: 1,0” 
 • membrána: textilný bakelit 
 • hmotnosť: 10 Oz</t>
        </is>
      </c>
    </row>
    <row r="1103">
      <c r="A1103" s="3" t="inlineStr">
        <is>
          <t>KHS 105A</t>
        </is>
      </c>
      <c r="B1103" s="2" t="inlineStr">
        <is>
          <t>Piezo výškový reproduktor</t>
        </is>
      </c>
      <c r="C1103" s="1" t="n">
        <v>3.19</v>
      </c>
      <c r="D1103" s="7" t="n">
        <f>HYPERLINK("https://www.somogyi.sk/product/piezo-vyskovy-reproduktor-khs-105a-1797","https://www.somogyi.sk/product/piezo-vyskovy-reproduktor-khs-105a-1797")</f>
        <v>0.0</v>
      </c>
      <c r="E1103" s="7" t="n">
        <f>HYPERLINK("https://www.somogyi.sk/data/img/product_main_images/small/01797.jpg","https://www.somogyi.sk/data/img/product_main_images/small/01797.jpg")</f>
        <v>0.0</v>
      </c>
      <c r="F1103" s="2" t="inlineStr">
        <is>
          <t>5998312702833</t>
        </is>
      </c>
      <c r="G1103" s="4" t="inlineStr">
        <is>
          <t xml:space="preserve"> • vonkajší rozmer reproduktora: 85 x 85 mm 
 • impedancia reproduktora: &gt; 1000 Ω 
 • zaťažiteľnosť reproduktora: 300 W (4 Ω) / 150 W (8 Ω) max. 35 V~ 
 • frekvenčné pásmo: 2000 - 20000 Hz 
 • citlivosť reproduktora: 94 dB</t>
        </is>
      </c>
    </row>
    <row r="1104">
      <c r="A1104" s="6" t="inlineStr">
        <is>
          <t xml:space="preserve">   Zvuková technika / Mixážny zosilňovač</t>
        </is>
      </c>
      <c r="B1104" s="6" t="inlineStr">
        <is>
          <t/>
        </is>
      </c>
      <c r="C1104" s="6" t="inlineStr">
        <is>
          <t/>
        </is>
      </c>
      <c r="D1104" s="6" t="inlineStr">
        <is>
          <t/>
        </is>
      </c>
      <c r="E1104" s="6" t="inlineStr">
        <is>
          <t/>
        </is>
      </c>
      <c r="F1104" s="6" t="inlineStr">
        <is>
          <t/>
        </is>
      </c>
      <c r="G1104" s="6" t="inlineStr">
        <is>
          <t/>
        </is>
      </c>
    </row>
    <row r="1105">
      <c r="A1105" s="3" t="inlineStr">
        <is>
          <t>MPA 120BT</t>
        </is>
      </c>
      <c r="B1105" s="2" t="inlineStr">
        <is>
          <t>Mixážny zosilňovač, FM-BT-MP3, 120Watt</t>
        </is>
      </c>
      <c r="C1105" s="1" t="n">
        <v>184.9</v>
      </c>
      <c r="D1105" s="7" t="n">
        <f>HYPERLINK("https://www.somogyi.sk/product/mixazny-zosilnovac-fm-bt-mp3-120watt-mpa-120bt-16861","https://www.somogyi.sk/product/mixazny-zosilnovac-fm-bt-mp3-120watt-mpa-120bt-16861")</f>
        <v>0.0</v>
      </c>
      <c r="E1105" s="7" t="n">
        <f>HYPERLINK("https://www.somogyi.sk/data/img/product_main_images/small/16861.jpg","https://www.somogyi.sk/data/img/product_main_images/small/16861.jpg")</f>
        <v>0.0</v>
      </c>
      <c r="F1105" s="2" t="inlineStr">
        <is>
          <t>5999084948931</t>
        </is>
      </c>
      <c r="G1105" s="4" t="inlineStr">
        <is>
          <t xml:space="preserve"> • výstupný výkon: 120 W 
 • mixážny zosilňovač: 6 kanálov 
 • regulátor hlasitosti: áno 
 • regulátor vysokých a hlbokých tónov: áno 
 • zvukový efekt gong: áno 
 • automatický mix mikrofónu: áno 
 • mikrofónový vstup: 2 x Ø6,3 mm 
 • audio vstup: 3 x stereo (2xRCA) 
 • audio výstup: N2 x RCA 
 • výstupy pre reproduktor: 4 - 8 Ohm 
 • napájanie: 230 V~ / 50 Hz 
 • rozmery: 480 x 98 x 355 mm / 6,8 kg 
 • bezdrôtové BT spojenie: v2.1   EDR / max.10 m • Bluetooth 2.402-2.480 GHz ERP ≤2.5 mW</t>
        </is>
      </c>
    </row>
    <row r="1106">
      <c r="A1106" s="3" t="inlineStr">
        <is>
          <t>MPA 240BT</t>
        </is>
      </c>
      <c r="B1106" s="2" t="inlineStr">
        <is>
          <t>Mixážny zosilňovač, FM-BT-MP3, 240 Watt</t>
        </is>
      </c>
      <c r="C1106" s="1" t="n">
        <v>254.9</v>
      </c>
      <c r="D1106" s="7" t="n">
        <f>HYPERLINK("https://www.somogyi.sk/product/mixazny-zosilnovac-fm-bt-mp3-240-watt-mpa-240bt-15864","https://www.somogyi.sk/product/mixazny-zosilnovac-fm-bt-mp3-240-watt-mpa-240bt-15864")</f>
        <v>0.0</v>
      </c>
      <c r="E1106" s="7" t="n">
        <f>HYPERLINK("https://www.somogyi.sk/data/img/product_main_images/small/15864.jpg","https://www.somogyi.sk/data/img/product_main_images/small/15864.jpg")</f>
        <v>0.0</v>
      </c>
      <c r="F1106" s="2" t="inlineStr">
        <is>
          <t>5999084938987</t>
        </is>
      </c>
      <c r="G1106" s="4" t="inlineStr">
        <is>
          <t xml:space="preserve"> • výstupný výkon: 400 W 
 • mixážny zosilňovač: 5 kanálov 
 • regulátor hlasitosti: áno 
 • regulátor vysokých a hlbokých tónov: áno 
 • zvukový efekt gong: áno 
 • automatický mix mikrofónu: áno 
 • mikrofónový vstup: 2 x Ø6,3 mm 
 • audio vstup: 3 x stereo (2xRCA) 
 • audio výstup: 2 x RCA 
 • výstupy pre reproduktor: 8 Ohm 
 • 100 V výstupy: 6 ks 
 • napájanie: 230 V~ 
 • rozmery: 480 x 95 x 380 mm 
 • bezdrôtové BT spojenie: v2.1   EDR / max.10 m • Bluetooth 2.402-2.480 GHz ERP ≤2.5 mW</t>
        </is>
      </c>
    </row>
    <row r="1107">
      <c r="A1107" s="6" t="inlineStr">
        <is>
          <t xml:space="preserve">   Zvuková technika / Špeciálny reproduktor, reprobox</t>
        </is>
      </c>
      <c r="B1107" s="6" t="inlineStr">
        <is>
          <t/>
        </is>
      </c>
      <c r="C1107" s="6" t="inlineStr">
        <is>
          <t/>
        </is>
      </c>
      <c r="D1107" s="6" t="inlineStr">
        <is>
          <t/>
        </is>
      </c>
      <c r="E1107" s="6" t="inlineStr">
        <is>
          <t/>
        </is>
      </c>
      <c r="F1107" s="6" t="inlineStr">
        <is>
          <t/>
        </is>
      </c>
      <c r="G1107" s="6" t="inlineStr">
        <is>
          <t/>
        </is>
      </c>
    </row>
    <row r="1108">
      <c r="A1108" s="3" t="inlineStr">
        <is>
          <t>CES 3</t>
        </is>
      </c>
      <c r="B1108" s="2" t="inlineStr">
        <is>
          <t>Stropný reproduktor</t>
        </is>
      </c>
      <c r="C1108" s="1" t="n">
        <v>29.89</v>
      </c>
      <c r="D1108" s="7" t="n">
        <f>HYPERLINK("https://www.somogyi.sk/product/stropny-reproduktor-ces-3-2731","https://www.somogyi.sk/product/stropny-reproduktor-ces-3-2731")</f>
        <v>0.0</v>
      </c>
      <c r="E1108" s="7" t="n">
        <f>HYPERLINK("https://www.somogyi.sk/data/img/product_main_images/small/02731.jpg","https://www.somogyi.sk/data/img/product_main_images/small/02731.jpg")</f>
        <v>0.0</v>
      </c>
      <c r="F1108" s="2" t="inlineStr">
        <is>
          <t>5998312730553</t>
        </is>
      </c>
      <c r="G1108" s="4" t="inlineStr">
        <is>
          <t xml:space="preserve"> • Zdôraznená charakteristika: 110 V - (zabudovaný transformátor) 
 • menovitý priemer reproduktora: 165 mm 
 • impedancia reproduktora: 8 Ω 
 • zaťažiteľnosť reproduktora: 10 W 
 • frekvenčné pásmo: 50 - 18000 Hz 
 • rozmery: Ø90 x 85 mm</t>
        </is>
      </c>
    </row>
    <row r="1109">
      <c r="A1109" s="3" t="inlineStr">
        <is>
          <t>WAS 2</t>
        </is>
      </c>
      <c r="B1109" s="2" t="inlineStr">
        <is>
          <t>Nástenný reproduktor, 110V, 165mm</t>
        </is>
      </c>
      <c r="C1109" s="1" t="n">
        <v>37.39</v>
      </c>
      <c r="D1109" s="7" t="n">
        <f>HYPERLINK("https://www.somogyi.sk/product/nastenny-reproduktor-110v-165mm-was-2-4175","https://www.somogyi.sk/product/nastenny-reproduktor-110v-165mm-was-2-4175")</f>
        <v>0.0</v>
      </c>
      <c r="E1109" s="7" t="n">
        <f>HYPERLINK("https://www.somogyi.sk/data/img/product_main_images/small/04175.jpg","https://www.somogyi.sk/data/img/product_main_images/small/04175.jpg")</f>
        <v>0.0</v>
      </c>
      <c r="F1109" s="2" t="inlineStr">
        <is>
          <t>5998312737064</t>
        </is>
      </c>
      <c r="G1109" s="4" t="inlineStr">
        <is>
          <t xml:space="preserve"> • Zdôraznená charakteristika: 110 V (zabudovaný transformátor) 
 • menovitý priemer reproduktora: 165 mm 
 • impedancia reproduktora: 8 Ω 
 • zaťažiteľnosť reproduktora: 10 W 
 • frekvenčné pásmo: 50 - 18000 Hz 
 • rozmery: 275 x 200 x 110 mm</t>
        </is>
      </c>
    </row>
    <row r="1110">
      <c r="A1110" s="3" t="inlineStr">
        <is>
          <t>MRPX 2-130</t>
        </is>
      </c>
      <c r="B1110" s="2" t="inlineStr">
        <is>
          <t>Pár vodotesných reproduktorov, 2 pásmové, 130mm, 4ohm, 100W</t>
        </is>
      </c>
      <c r="C1110" s="1" t="n">
        <v>30.49</v>
      </c>
      <c r="D1110" s="7" t="n">
        <f>HYPERLINK("https://www.somogyi.sk/product/par-vodotesnych-reproduktorov-2-pasmove-130mm-4ohm-100w-mrpx-2-130-14583","https://www.somogyi.sk/product/par-vodotesnych-reproduktorov-2-pasmove-130mm-4ohm-100w-mrpx-2-130-14583")</f>
        <v>0.0</v>
      </c>
      <c r="E1110" s="7" t="n">
        <f>HYPERLINK("https://www.somogyi.sk/data/img/product_main_images/small/14583.jpg","https://www.somogyi.sk/data/img/product_main_images/small/14583.jpg")</f>
        <v>0.0</v>
      </c>
      <c r="F1110" s="2" t="inlineStr">
        <is>
          <t>5999084926250</t>
        </is>
      </c>
      <c r="G1110" s="4" t="inlineStr">
        <is>
          <t xml:space="preserve"> • 2-pásmová, koaxiálna konštrukcia 
 • ∅30 mm kalotový reproduktor 
 • hudobná zaťažiteľnosť: 100 W (2 x 50 W) 
 • frekvenčný prenos: 75-20.000 Hz 
 • citlivosť: 87 dB 
 • ideálny do vlhkého, parného prostredia: infrasauna, plaváreň, kúpele, terasa, obytný príves, loď</t>
        </is>
      </c>
    </row>
    <row r="1111">
      <c r="A1111" s="3" t="inlineStr">
        <is>
          <t>CES 165</t>
        </is>
      </c>
      <c r="B1111" s="2" t="inlineStr">
        <is>
          <t>Stropný 2-pásmový reproduktor</t>
        </is>
      </c>
      <c r="C1111" s="1" t="n">
        <v>33.09</v>
      </c>
      <c r="D1111" s="7" t="n">
        <f>HYPERLINK("https://www.somogyi.sk/product/stropny-2-pasmovy-reproduktor-ces-165-16862","https://www.somogyi.sk/product/stropny-2-pasmovy-reproduktor-ces-165-16862")</f>
        <v>0.0</v>
      </c>
      <c r="E1111" s="7" t="n">
        <f>HYPERLINK("https://www.somogyi.sk/data/img/product_main_images/small/16862.jpg","https://www.somogyi.sk/data/img/product_main_images/small/16862.jpg")</f>
        <v>0.0</v>
      </c>
      <c r="F1111" s="2" t="inlineStr">
        <is>
          <t>5999084948948</t>
        </is>
      </c>
      <c r="G1111" s="4" t="inlineStr">
        <is>
          <t xml:space="preserve"> • Zdôraznená charakteristika: 110 V (zabudovaný transformátor) 
 • menovitý priemer reproduktora: ∅165 mm   ∅25 mm 
 • impedancia reproduktora: 8 Ohm 
 • zaťažiteľnosť reproduktora: 10 W 
 • frekvenčné pásmo: 80 - 20000 Hz 
 • rozmery: rozmery zabudovania: ∅206 x 70 mm</t>
        </is>
      </c>
    </row>
    <row r="1112">
      <c r="A1112" s="3" t="inlineStr">
        <is>
          <t>MRPX 2-165</t>
        </is>
      </c>
      <c r="B1112" s="2" t="inlineStr">
        <is>
          <t>Pár vodotesných reproduktorov, 2 pásmové, 165mm, 4ohm, 150W</t>
        </is>
      </c>
      <c r="C1112" s="1" t="n">
        <v>36.49</v>
      </c>
      <c r="D1112" s="7" t="n">
        <f>HYPERLINK("https://www.somogyi.sk/product/par-vodotesnych-reproduktorov-2-pasmove-165mm-4ohm-150w-mrpx-2-165-14584","https://www.somogyi.sk/product/par-vodotesnych-reproduktorov-2-pasmove-165mm-4ohm-150w-mrpx-2-165-14584")</f>
        <v>0.0</v>
      </c>
      <c r="E1112" s="7" t="n">
        <f>HYPERLINK("https://www.somogyi.sk/data/img/product_main_images/small/14584.jpg","https://www.somogyi.sk/data/img/product_main_images/small/14584.jpg")</f>
        <v>0.0</v>
      </c>
      <c r="F1112" s="2" t="inlineStr">
        <is>
          <t>5999084926267</t>
        </is>
      </c>
      <c r="G1112" s="4" t="inlineStr">
        <is>
          <t xml:space="preserve"> • Zdôraznená charakteristika: do vlhkého prostredia 
 • menovitý priemer reproduktora: 165 mm 
 • impedancia reproduktora: 4 Ω 
 • zaťažiteľnosť reproduktora: 2 x 75 W 
 • frekvenčné pásmo: 45 - 20000 Hz 
 • citlivosť reproduktora: 87 dB 
 • rozmery: Ø180 x 60 mm</t>
        </is>
      </c>
    </row>
    <row r="1113">
      <c r="A1113" s="6" t="inlineStr">
        <is>
          <t xml:space="preserve">   Zvuková technika / Mikrofón</t>
        </is>
      </c>
      <c r="B1113" s="6" t="inlineStr">
        <is>
          <t/>
        </is>
      </c>
      <c r="C1113" s="6" t="inlineStr">
        <is>
          <t/>
        </is>
      </c>
      <c r="D1113" s="6" t="inlineStr">
        <is>
          <t/>
        </is>
      </c>
      <c r="E1113" s="6" t="inlineStr">
        <is>
          <t/>
        </is>
      </c>
      <c r="F1113" s="6" t="inlineStr">
        <is>
          <t/>
        </is>
      </c>
      <c r="G1113" s="6" t="inlineStr">
        <is>
          <t/>
        </is>
      </c>
    </row>
    <row r="1114">
      <c r="A1114" s="3" t="inlineStr">
        <is>
          <t>M 41</t>
        </is>
      </c>
      <c r="B1114" s="2" t="inlineStr">
        <is>
          <t>Ručný mikrofón, strieborná, 6,3 mm</t>
        </is>
      </c>
      <c r="C1114" s="1" t="n">
        <v>5.79</v>
      </c>
      <c r="D1114" s="7" t="n">
        <f>HYPERLINK("https://www.somogyi.sk/product/rucny-mikrofon-strieborna-6-3-mm-m-41-14995","https://www.somogyi.sk/product/rucny-mikrofon-strieborna-6-3-mm-m-41-14995")</f>
        <v>0.0</v>
      </c>
      <c r="E1114" s="7" t="n">
        <f>HYPERLINK("https://www.somogyi.sk/data/img/product_main_images/small/14995.jpg","https://www.somogyi.sk/data/img/product_main_images/small/14995.jpg")</f>
        <v>0.0</v>
      </c>
      <c r="F1114" s="2" t="inlineStr">
        <is>
          <t>5999084930295</t>
        </is>
      </c>
      <c r="G1114" s="4" t="inlineStr">
        <is>
          <t xml:space="preserve"> • funkcia/prevedenie: dynamický 
 • impedancia: 600 Ohm 
 • frekvenčné pásmo: 100 - 12500 Hz 
 • rukoväť: plastová 
 • za/vypínač: áno 
 • svietiaci krúžok: nie 
 • odstrániteľný pripojovací kábel: nie 
 • dĺžka kábla: 1,8 m 
 • vidlica: Ø6,3 mm 
 • rozmery: Ø53 / 31 x 170 mm</t>
        </is>
      </c>
    </row>
    <row r="1115">
      <c r="A1115" s="3" t="inlineStr">
        <is>
          <t>M 12</t>
        </is>
      </c>
      <c r="B1115" s="2" t="inlineStr">
        <is>
          <t>Štúdiový set mikrofónu</t>
        </is>
      </c>
      <c r="C1115" s="1" t="n">
        <v>23.39</v>
      </c>
      <c r="D1115" s="7" t="n">
        <f>HYPERLINK("https://www.somogyi.sk/product/studiovy-set-mikrofonu-m-12-17305","https://www.somogyi.sk/product/studiovy-set-mikrofonu-m-12-17305")</f>
        <v>0.0</v>
      </c>
      <c r="E1115" s="7" t="n">
        <f>HYPERLINK("https://www.somogyi.sk/data/img/product_main_images/small/17305.jpg","https://www.somogyi.sk/data/img/product_main_images/small/17305.jpg")</f>
        <v>0.0</v>
      </c>
      <c r="F1115" s="2" t="inlineStr">
        <is>
          <t>5999084953270</t>
        </is>
      </c>
      <c r="G1115" s="4" t="inlineStr">
        <is>
          <t xml:space="preserve"> • funkcia/prevedenie: kondenzátor 
 • impedancia: 150 Ohm  ± 30% (1 kHz) 
 • frekvenčné pásmo: 20 - 20.000 Hz 
 • rukoväť: kovový 
 • odstrániteľný pripojovací kábel: áno 
 • dĺžka kábla: ~2,4 m 
 • vidlica: XLR 
 • príslušenstvo: XLR zásuvka / 3p-3,5mm vidlica kábel (~2,4m) 
 • rozmery: Ø46 x 155 mm / 200g</t>
        </is>
      </c>
    </row>
    <row r="1116">
      <c r="A1116" s="3" t="inlineStr">
        <is>
          <t>M 11</t>
        </is>
      </c>
      <c r="B1116" s="2" t="inlineStr">
        <is>
          <t>Mikrofón, stolný</t>
        </is>
      </c>
      <c r="C1116" s="1" t="n">
        <v>37.79</v>
      </c>
      <c r="D1116" s="7" t="n">
        <f>HYPERLINK("https://www.somogyi.sk/product/mikrofon-stolny-m-11-15301","https://www.somogyi.sk/product/mikrofon-stolny-m-11-15301")</f>
        <v>0.0</v>
      </c>
      <c r="E1116" s="7" t="n">
        <f>HYPERLINK("https://www.somogyi.sk/data/img/product_main_images/small/15301.jpg","https://www.somogyi.sk/data/img/product_main_images/small/15301.jpg")</f>
        <v>0.0</v>
      </c>
      <c r="F1116" s="2" t="inlineStr">
        <is>
          <t>5999084933357</t>
        </is>
      </c>
      <c r="G1116" s="4" t="inlineStr">
        <is>
          <t xml:space="preserve"> • funkcia/prevedenie: kondenzátor 
 • impedancia: ~ 600 Ω 
 • frekvenčné pásmo: 80 - 18000 Hz 
 • za/vypínač: áno 
 • svietiaci krúžok: á 
 • odstrániteľný pripojovací kábel: á 
 • dĺžka kábla: 5 m 
 • vidlica: XLR / Ø6,3 mm 
 • napájanie: 6LR61 batéria (nie je príslušenstvom) alebo +48 V DC fantómové napájanie 
 • rozmery: 12,5 x 15 x 49 cm / 610 g</t>
        </is>
      </c>
    </row>
    <row r="1117">
      <c r="A1117" s="3" t="inlineStr">
        <is>
          <t>M 61</t>
        </is>
      </c>
      <c r="B1117" s="2" t="inlineStr">
        <is>
          <t>Ručný mikrofón, čierna, XLR-6,3 mm</t>
        </is>
      </c>
      <c r="C1117" s="1" t="n">
        <v>8.59</v>
      </c>
      <c r="D1117" s="7" t="n">
        <f>HYPERLINK("https://www.somogyi.sk/product/rucny-mikrofon-cierna-xlr-6-3-mm-m-61-14996","https://www.somogyi.sk/product/rucny-mikrofon-cierna-xlr-6-3-mm-m-61-14996")</f>
        <v>0.0</v>
      </c>
      <c r="E1117" s="7" t="n">
        <f>HYPERLINK("https://www.somogyi.sk/data/img/product_main_images/small/14996.jpg","https://www.somogyi.sk/data/img/product_main_images/small/14996.jpg")</f>
        <v>0.0</v>
      </c>
      <c r="F1117" s="2" t="inlineStr">
        <is>
          <t>5999084930301</t>
        </is>
      </c>
      <c r="G1117" s="4" t="inlineStr">
        <is>
          <t xml:space="preserve"> • funkcia/prevedenie: dynamický 
 • impedancia: 600 Ohm 
 • frekvenčné pásmo: 80 - 14500 Hz 
 • rukoväť: plastová 
 • za/vypínač: áno 
 • svietiaci krúžok: nie 
 • odstrániteľný pripojovací kábel: áno 
 • dĺžka kábla: 3 m 
 • vidlica: XLR / Ø6,3 mm 
 • rozmery: Ø42 / 31 x 170 mm</t>
        </is>
      </c>
    </row>
    <row r="1118">
      <c r="A1118" s="3" t="inlineStr">
        <is>
          <t>HT 810</t>
        </is>
      </c>
      <c r="B1118" s="2" t="inlineStr">
        <is>
          <t>Mikrofónový stojan</t>
        </is>
      </c>
      <c r="C1118" s="1" t="n">
        <v>31.09</v>
      </c>
      <c r="D1118" s="7" t="n">
        <f>HYPERLINK("https://www.somogyi.sk/product/mikrofonovy-stojan-ht-810-15716","https://www.somogyi.sk/product/mikrofonovy-stojan-ht-810-15716")</f>
        <v>0.0</v>
      </c>
      <c r="E1118" s="7" t="n">
        <f>HYPERLINK("https://www.somogyi.sk/data/img/product_main_images/small/15716.jpg","https://www.somogyi.sk/data/img/product_main_images/small/15716.jpg")</f>
        <v>0.0</v>
      </c>
      <c r="F1118" s="2" t="inlineStr">
        <is>
          <t>5999084937508</t>
        </is>
      </c>
      <c r="G1118" s="4" t="inlineStr">
        <is>
          <t xml:space="preserve"> • rozmery: cca.100-160 cm</t>
        </is>
      </c>
    </row>
    <row r="1119">
      <c r="A1119" s="3" t="inlineStr">
        <is>
          <t>M 8</t>
        </is>
      </c>
      <c r="B1119" s="2" t="inlineStr">
        <is>
          <t>Ručný mikrofón,kovová, XLR-6,3 mm</t>
        </is>
      </c>
      <c r="C1119" s="1" t="n">
        <v>26.69</v>
      </c>
      <c r="D1119" s="7" t="n">
        <f>HYPERLINK("https://www.somogyi.sk/product/rucny-mikrofon-kovova-xlr-6-3-mm-m-8-14998","https://www.somogyi.sk/product/rucny-mikrofon-kovova-xlr-6-3-mm-m-8-14998")</f>
        <v>0.0</v>
      </c>
      <c r="E1119" s="7" t="n">
        <f>HYPERLINK("https://www.somogyi.sk/data/img/product_main_images/small/14998.jpg","https://www.somogyi.sk/data/img/product_main_images/small/14998.jpg")</f>
        <v>0.0</v>
      </c>
      <c r="F1119" s="2" t="inlineStr">
        <is>
          <t>5999084930325</t>
        </is>
      </c>
      <c r="G1119" s="4" t="inlineStr">
        <is>
          <t xml:space="preserve"> • funkcia/prevedenie: dynamický 
 • impedancia: 600 Ohm 
 • frekvenčné pásmo: 45 - 19000 Hz 
 • rukoväť: kovová 
 • za/vypínač: áno 
 • svietiaci krúžok: nie 
 • odstrániteľný pripojovací kábel: áno 
 • dĺžka kábla: 4,5 m 
 • vidlica: XLR / Ø6,3 mm 
 • rozmery: Ø50 / 40 x 180 mm</t>
        </is>
      </c>
    </row>
    <row r="1120">
      <c r="A1120" s="6" t="inlineStr">
        <is>
          <t xml:space="preserve">   Zvuková technika / Bezdrôtový mikrofón</t>
        </is>
      </c>
      <c r="B1120" s="6" t="inlineStr">
        <is>
          <t/>
        </is>
      </c>
      <c r="C1120" s="6" t="inlineStr">
        <is>
          <t/>
        </is>
      </c>
      <c r="D1120" s="6" t="inlineStr">
        <is>
          <t/>
        </is>
      </c>
      <c r="E1120" s="6" t="inlineStr">
        <is>
          <t/>
        </is>
      </c>
      <c r="F1120" s="6" t="inlineStr">
        <is>
          <t/>
        </is>
      </c>
      <c r="G1120" s="6" t="inlineStr">
        <is>
          <t/>
        </is>
      </c>
    </row>
    <row r="1121">
      <c r="A1121" s="3" t="inlineStr">
        <is>
          <t>MVN 910</t>
        </is>
      </c>
      <c r="B1121" s="2" t="inlineStr">
        <is>
          <t>Mikrofónový set, bezdrôtový, 140 m</t>
        </is>
      </c>
      <c r="C1121" s="1" t="n">
        <v>192.99</v>
      </c>
      <c r="D1121" s="7" t="n">
        <f>HYPERLINK("https://www.somogyi.sk/product/mikrofonovy-set-bezdrotovy-140-m-mvn-910-17304","https://www.somogyi.sk/product/mikrofonovy-set-bezdrotovy-140-m-mvn-910-17304")</f>
        <v>0.0</v>
      </c>
      <c r="E1121" s="7" t="n">
        <f>HYPERLINK("https://www.somogyi.sk/data/img/product_main_images/small/17304.jpg","https://www.somogyi.sk/data/img/product_main_images/small/17304.jpg")</f>
        <v>0.0</v>
      </c>
      <c r="F1121" s="2" t="inlineStr">
        <is>
          <t>5999084953263</t>
        </is>
      </c>
      <c r="G1121" s="4" t="inlineStr">
        <is>
          <t xml:space="preserve"> • dosah: 140 m (na otvorenom teréne) 
 • prevádzková frekvencia: UHF   ~518 – 690 MHz nom. 
 • výkon: &lt; 10 mW 
 • pomer RF signál / hluk: 105 dB 
 • rozsah audio prenosu: 50 - 18000 Hz 
 • rozsah dynamiky: &gt;120 dB 
 • THD: &lt; 0,5 % 
 • audio výstup: ~ 500 mV 
 • dosah: 0 °C… 35 °C 
 • povolená teplota okolia: 2x symetrický XLR audio výstup, 6,3 mm súhrnný audio výstup 
 • pripojenia: 2 ručné mikrofóny, prijímač, audio prepojovací kábel Ø6,3 mm - Ø6,3 mm, sieťový adaptér, inštalačný materiál, farebné označovacie krúžky 
 • napájanie: mikrofón: 2 x AA batéria (nie je príslušenstvom), prijímač: 230 V~ (adaptér) 
 • rozmery: mikrofón: Ø50 / 35 x 265 mm, prijímač: 420 x 55 x 220 mm 
 • hmotnosť: mikrofón: 2 x 320 g, prijímač: 1550 g</t>
        </is>
      </c>
    </row>
    <row r="1122">
      <c r="A1122" s="3" t="inlineStr">
        <is>
          <t>MVN 600</t>
        </is>
      </c>
      <c r="B1122" s="2" t="inlineStr">
        <is>
          <t>Mikrofónový set, bezdrôtový, 80 m</t>
        </is>
      </c>
      <c r="C1122" s="1" t="n">
        <v>115.9</v>
      </c>
      <c r="D1122" s="7" t="n">
        <f>HYPERLINK("https://www.somogyi.sk/product/mikrofonovy-set-bezdrotovy-80-m-mvn-600-17170","https://www.somogyi.sk/product/mikrofonovy-set-bezdrotovy-80-m-mvn-600-17170")</f>
        <v>0.0</v>
      </c>
      <c r="E1122" s="7" t="n">
        <f>HYPERLINK("https://www.somogyi.sk/data/img/product_main_images/small/17170.jpg","https://www.somogyi.sk/data/img/product_main_images/small/17170.jpg")</f>
        <v>0.0</v>
      </c>
      <c r="F1122" s="2" t="inlineStr">
        <is>
          <t>5999084952020</t>
        </is>
      </c>
      <c r="G1122" s="4" t="inlineStr">
        <is>
          <t xml:space="preserve"> • dosah: ~80 m 
 • prevádzková frekvencia: ~518 – 690 MHz nom. 
 • výkon: &lt; 10 mW 
 • pomer RF signál / hluk: 102 dB 
 • rozsah audio prenosu: 50 - 18000 Hz 
 • rozsah dynamiky: &gt;  105 dB 
 • THD: &lt; 0,5 % 
 • audio výstup: ~ 500 mV 
 • dosah: 0 - 35 °C 
 • povolená teplota okolia: 2 x XLR / Ø6,3 mm jack 
 •  
 • rozmery: mikrofón: Ø50 / 35 x 250 mm, prijímač: 210 x 50 x 180 mm 
 • hmotnosť: mikrofón: 2x 260 g, prijímač: 700 g</t>
        </is>
      </c>
    </row>
    <row r="1123">
      <c r="A1123" s="3" t="inlineStr">
        <is>
          <t>MVN 300</t>
        </is>
      </c>
      <c r="B1123" s="2" t="inlineStr">
        <is>
          <t>Sada mikrofónu, bezdrôtová, 40 m</t>
        </is>
      </c>
      <c r="C1123" s="1" t="n">
        <v>48.49</v>
      </c>
      <c r="D1123" s="7" t="n">
        <f>HYPERLINK("https://www.somogyi.sk/product/sada-mikrofonu-bezdrotova-40-m-mvn-300-17168","https://www.somogyi.sk/product/sada-mikrofonu-bezdrotova-40-m-mvn-300-17168")</f>
        <v>0.0</v>
      </c>
      <c r="E1123" s="7" t="n">
        <f>HYPERLINK("https://www.somogyi.sk/data/img/product_main_images/small/17168.jpg","https://www.somogyi.sk/data/img/product_main_images/small/17168.jpg")</f>
        <v>0.0</v>
      </c>
      <c r="F1123" s="2" t="inlineStr">
        <is>
          <t>5999084952006</t>
        </is>
      </c>
      <c r="G1123" s="4" t="inlineStr">
        <is>
          <t xml:space="preserve"> • dosah: dosah na otvorenom teréne: ~40 m 
 • prevádzková frekvencia: 550-565,2 MHz 
 • výkon: &lt; 10 mW 
 • rozsah audio prenosu: 50 - 18000 Hz 
 • rozsah dynamiky: &gt; 120 dB 
 • THD: &lt; 0,5 % 
 • audio výstup: 0 - 500 mV 
 • dosah: 0 - 35 °C 
 • povolená teplota okolia: ∅6,3 mm vidlica mikrofónového výstupu na prijímači 
 •  
 • rozmery: mikrofón: ∅50/33 x 240 mm / prijímacia jednotka: ~80 x 42 x 17 mm</t>
        </is>
      </c>
    </row>
    <row r="1124">
      <c r="A1124" s="6" t="inlineStr">
        <is>
          <t xml:space="preserve">   Zvuková technika / Slúchadlá</t>
        </is>
      </c>
      <c r="B1124" s="6" t="inlineStr">
        <is>
          <t/>
        </is>
      </c>
      <c r="C1124" s="6" t="inlineStr">
        <is>
          <t/>
        </is>
      </c>
      <c r="D1124" s="6" t="inlineStr">
        <is>
          <t/>
        </is>
      </c>
      <c r="E1124" s="6" t="inlineStr">
        <is>
          <t/>
        </is>
      </c>
      <c r="F1124" s="6" t="inlineStr">
        <is>
          <t/>
        </is>
      </c>
      <c r="G1124" s="6" t="inlineStr">
        <is>
          <t/>
        </is>
      </c>
    </row>
    <row r="1125">
      <c r="A1125" s="3" t="inlineStr">
        <is>
          <t>TWS 1/SL</t>
        </is>
      </c>
      <c r="B1125" s="2" t="inlineStr">
        <is>
          <t>Bezdrôtové slúchadlá</t>
        </is>
      </c>
      <c r="C1125" s="1" t="n">
        <v>18.29</v>
      </c>
      <c r="D1125" s="7" t="n">
        <f>HYPERLINK("https://www.somogyi.sk/product/bezdrotove-sluchadla-tws-1-sl-16700","https://www.somogyi.sk/product/bezdrotove-sluchadla-tws-1-sl-16700")</f>
        <v>0.0</v>
      </c>
      <c r="E1125" s="7" t="n">
        <f>HYPERLINK("https://www.somogyi.sk/data/img/product_main_images/small/16700.jpg","https://www.somogyi.sk/data/img/product_main_images/small/16700.jpg")</f>
        <v>0.0</v>
      </c>
      <c r="F1125" s="2" t="inlineStr">
        <is>
          <t>5999084947323</t>
        </is>
      </c>
      <c r="G1125" s="4" t="inlineStr">
        <is>
          <t xml:space="preserve"> • bezdrôtové: áno 
 • dosah: max. 10 m 
 • farba: biela 
 • slúchadlá do uší: áno 
 • impedancia: 34 Ohm 
 • citlivosť: 104 dB 
 • výkon: 2 x 50 mW 
 • frekvenčné pásmo: 20 - 20.000 Hz 
 • zabudovaný mikrofón: áno 
 • bezdrôtové BT spojenie: áno 
 • krokovanie skladieb, diaľkové ovládanie: áno 
 • prijatie telefonického hovoru: áno 
 • odmietnutie telefonického hovoru: áno 
 • zvukové hlásenie pri zmene funkcie: áno 
 • čas prevádzky: 2,5 h</t>
        </is>
      </c>
    </row>
    <row r="1126">
      <c r="A1126" s="3" t="inlineStr">
        <is>
          <t>SABT 31</t>
        </is>
      </c>
      <c r="B1126" s="2" t="inlineStr">
        <is>
          <t>BT slúchadlá s nabíjačkou do auta</t>
        </is>
      </c>
      <c r="C1126" s="1" t="n">
        <v>7.29</v>
      </c>
      <c r="D1126" s="7" t="n">
        <f>HYPERLINK("https://www.somogyi.sk/product/bt-sluchadla-s-nabijackou-do-auta-sabt-31-17127","https://www.somogyi.sk/product/bt-sluchadla-s-nabijackou-do-auta-sabt-31-17127")</f>
        <v>0.0</v>
      </c>
      <c r="E1126" s="7" t="n">
        <f>HYPERLINK("https://www.somogyi.sk/data/img/product_main_images/small/17127.jpg","https://www.somogyi.sk/data/img/product_main_images/small/17127.jpg")</f>
        <v>0.0</v>
      </c>
      <c r="F1126" s="2" t="inlineStr">
        <is>
          <t>5999084951597</t>
        </is>
      </c>
      <c r="G1126" s="4" t="inlineStr">
        <is>
          <t xml:space="preserve"> • bezdrôtové: áno 
 • dosah: max. 10 m 
 • farba: biela 
 • slúchadlá do uší: áno 
 • impedancia: 32 Ohm 
 • citlivosť: 96dB 
 • výkon: max. 40 mW 
 • frekvenčné pásmo: 20 - 20.000 Hz 
 • zabudovaný mikrofón: áno 
 • bezdrôtové BT spojenie: áno 
 • prijatie telefonického hovoru: áno</t>
        </is>
      </c>
    </row>
    <row r="1127">
      <c r="A1127" s="6" t="inlineStr">
        <is>
          <t xml:space="preserve">   Zvuková technika / Reprokábel</t>
        </is>
      </c>
      <c r="B1127" s="6" t="inlineStr">
        <is>
          <t/>
        </is>
      </c>
      <c r="C1127" s="6" t="inlineStr">
        <is>
          <t/>
        </is>
      </c>
      <c r="D1127" s="6" t="inlineStr">
        <is>
          <t/>
        </is>
      </c>
      <c r="E1127" s="6" t="inlineStr">
        <is>
          <t/>
        </is>
      </c>
      <c r="F1127" s="6" t="inlineStr">
        <is>
          <t/>
        </is>
      </c>
      <c r="G1127" s="6" t="inlineStr">
        <is>
          <t/>
        </is>
      </c>
    </row>
    <row r="1128">
      <c r="A1128" s="3" t="inlineStr">
        <is>
          <t>KL 0,75T-10X</t>
        </is>
      </c>
      <c r="B1128" s="2" t="inlineStr">
        <is>
          <t>Reprokábel, transparentný, 2x0,75mm, 10m, blister</t>
        </is>
      </c>
      <c r="C1128" s="1" t="n">
        <v>3.49</v>
      </c>
      <c r="D1128" s="7" t="n">
        <f>HYPERLINK("https://www.somogyi.sk/product/reprokabel-transparentny-2x0-75mm-10m-blister-kl-0-75t-10x-2308","https://www.somogyi.sk/product/reprokabel-transparentny-2x0-75mm-10m-blister-kl-0-75t-10x-2308")</f>
        <v>0.0</v>
      </c>
      <c r="E1128" s="7" t="n">
        <f>HYPERLINK("https://www.somogyi.sk/data/img/product_main_images/small/02308.jpg","https://www.somogyi.sk/data/img/product_main_images/small/02308.jpg")</f>
        <v>0.0</v>
      </c>
      <c r="F1128" s="2" t="inlineStr">
        <is>
          <t>5998312725757</t>
        </is>
      </c>
      <c r="G1128" s="4" t="inlineStr">
        <is>
          <t xml:space="preserve"> • materiál základnej žily: čistá meď bez kyslíka 
 • priemer vlákna: Ø 0,10 mm 
 • štruktúra kábla: 2C x (96 x 0,10 mm) 
 • farba izolácie: transparentná 
 • šírka x výška: 4,6 x 2,3 mm 
 • meter / kotúč: 10 m 
 • blister: áno</t>
        </is>
      </c>
    </row>
    <row r="1129">
      <c r="A1129" s="3" t="inlineStr">
        <is>
          <t>KL 0,75</t>
        </is>
      </c>
      <c r="B1129" s="2" t="inlineStr">
        <is>
          <t>Reprokábel, červeno-čierny, 2x0,75mm, 100m/kotúč</t>
        </is>
      </c>
      <c r="C1129" s="1" t="n">
        <v>1.19</v>
      </c>
      <c r="D1129" s="7" t="n">
        <f>HYPERLINK("https://www.somogyi.sk/product/reprokabel-cerveno-cierny-2x0-75mm-100m-kotuc-kl-0-75-2818","https://www.somogyi.sk/product/reprokabel-cerveno-cierny-2x0-75mm-100m-kotuc-kl-0-75-2818")</f>
        <v>0.0</v>
      </c>
      <c r="E1129" s="7" t="n">
        <f>HYPERLINK("https://www.somogyi.sk/data/img/product_main_images/small/02818.jpg","https://www.somogyi.sk/data/img/product_main_images/small/02818.jpg")</f>
        <v>0.0</v>
      </c>
      <c r="F1129" s="2" t="inlineStr">
        <is>
          <t>5998312731420</t>
        </is>
      </c>
      <c r="G1129" s="4" t="inlineStr">
        <is>
          <t xml:space="preserve"> • materiál základnej žily: čistá meď bez kyslíka 
 • priemer vlákna: Ø 0,10 mm 
 • štruktúra kábla: 2C x (96 x 0,10 mm) 
 • farba izolácie: červeno - čierna 
 • šírka x výška: 4,6 x 2,3 mm 
 • meter / kotúč: 100 m / kotúč</t>
        </is>
      </c>
    </row>
    <row r="1130">
      <c r="A1130" s="3" t="inlineStr">
        <is>
          <t>KL 2,5 SILVER</t>
        </is>
      </c>
      <c r="B1130" s="2" t="inlineStr">
        <is>
          <t>2x2,5 mm reprokábel, prémium, so striebrom</t>
        </is>
      </c>
      <c r="C1130" s="1" t="n">
        <v>4.29</v>
      </c>
      <c r="D1130" s="7" t="n">
        <f>HYPERLINK("https://www.somogyi.sk/product/2x2-5-mm-reprokabel-premium-so-striebrom-kl-2-5-silver-17374","https://www.somogyi.sk/product/2x2-5-mm-reprokabel-premium-so-striebrom-kl-2-5-silver-17374")</f>
        <v>0.0</v>
      </c>
      <c r="E1130" s="7" t="n">
        <f>HYPERLINK("https://www.somogyi.sk/data/img/product_main_images/small/17374.jpg","https://www.somogyi.sk/data/img/product_main_images/small/17374.jpg")</f>
        <v>0.0</v>
      </c>
      <c r="F1130" s="2" t="inlineStr">
        <is>
          <t>5999084953966</t>
        </is>
      </c>
      <c r="G1130" s="4" t="inlineStr">
        <is>
          <t xml:space="preserve"> • priemer vlákna: Ø 0,25 mm 
 • štruktúra kábla: 2C x (2 x 51 x 0,25 mm) 
 • farba izolácie: transparentný 
 • šírka x výška: 7,6 x 3,8 mm 
 • meter / kotúč: 25 m / kotúč</t>
        </is>
      </c>
    </row>
    <row r="1131">
      <c r="A1131" s="3" t="inlineStr">
        <is>
          <t>KL 1T</t>
        </is>
      </c>
      <c r="B1131" s="2" t="inlineStr">
        <is>
          <t>Reprokábel, transparentný, 2x1mm, 100m/kotúč</t>
        </is>
      </c>
      <c r="C1131" s="1" t="n">
        <v>1.49</v>
      </c>
      <c r="D1131" s="7" t="n">
        <f>HYPERLINK("https://www.somogyi.sk/product/reprokabel-transparentny-2x1mm-100m-kotuc-kl-1t-2522","https://www.somogyi.sk/product/reprokabel-transparentny-2x1mm-100m-kotuc-kl-1t-2522")</f>
        <v>0.0</v>
      </c>
      <c r="E1131" s="7" t="n">
        <f>HYPERLINK("https://www.somogyi.sk/data/img/product_main_images/small/02522.jpg","https://www.somogyi.sk/data/img/product_main_images/small/02522.jpg")</f>
        <v>0.0</v>
      </c>
      <c r="F1131" s="2" t="inlineStr">
        <is>
          <t>5998312728345</t>
        </is>
      </c>
      <c r="G1131" s="4" t="inlineStr">
        <is>
          <t xml:space="preserve"> • materiál základnej žily: čistá meď bez kyslíka 
 • priemer vlákna: Ø 0,10 mm 
 • štruktúra kábla: 2C x (127 x 0,10 mm) 
 • farba izolácie: transparentná 
 • šírka x výška: 6 x 3 mm 
 • meter / kotúč: 100 m / kotúč</t>
        </is>
      </c>
    </row>
    <row r="1132">
      <c r="A1132" s="3" t="inlineStr">
        <is>
          <t>KL 1,5T</t>
        </is>
      </c>
      <c r="B1132" s="2" t="inlineStr">
        <is>
          <t>Reprokábel, transparentný, 2x1,5mm, 100m/kotúč</t>
        </is>
      </c>
      <c r="C1132" s="1" t="n">
        <v>2.09</v>
      </c>
      <c r="D1132" s="7" t="n">
        <f>HYPERLINK("https://www.somogyi.sk/product/reprokabel-transparentny-2x1-5mm-100m-kotuc-kl-1-5t-2039","https://www.somogyi.sk/product/reprokabel-transparentny-2x1-5mm-100m-kotuc-kl-1-5t-2039")</f>
        <v>0.0</v>
      </c>
      <c r="E1132" s="7" t="n">
        <f>HYPERLINK("https://www.somogyi.sk/data/img/product_main_images/small/02039.jpg","https://www.somogyi.sk/data/img/product_main_images/small/02039.jpg")</f>
        <v>0.0</v>
      </c>
      <c r="F1132" s="2" t="inlineStr">
        <is>
          <t>5998312722329</t>
        </is>
      </c>
      <c r="G1132" s="4" t="inlineStr">
        <is>
          <t xml:space="preserve"> • materiál základnej žily: čistá meď bez kyslíka 
 • priemer vlákna: Ø 0,10 mm 
 • štruktúra kábla: 2C x (7 x 27 x 0,10 mm) 
 • farba izolácie: transparentná 
 • šírka x výška: 7 x 3,5 mm 
 • meter / kotúč: 100 m / kotúč</t>
        </is>
      </c>
    </row>
    <row r="1133">
      <c r="A1133" s="3" t="inlineStr">
        <is>
          <t>KL 0,35</t>
        </is>
      </c>
      <c r="B1133" s="2" t="inlineStr">
        <is>
          <t>Reprokábel, červeno-čierny, 2x0,35mm, 100m/kotúč</t>
        </is>
      </c>
      <c r="C1133" s="1" t="n">
        <v>0.59</v>
      </c>
      <c r="D1133" s="7" t="n">
        <f>HYPERLINK("https://www.somogyi.sk/product/reprokabel-cerveno-cierny-2x0-35mm-100m-kotuc-kl-0-35-1798","https://www.somogyi.sk/product/reprokabel-cerveno-cierny-2x0-35mm-100m-kotuc-kl-0-35-1798")</f>
        <v>0.0</v>
      </c>
      <c r="E1133" s="7" t="n">
        <f>HYPERLINK("https://www.somogyi.sk/data/img/product_main_images/small/01798.jpg","https://www.somogyi.sk/data/img/product_main_images/small/01798.jpg")</f>
        <v>0.0</v>
      </c>
      <c r="F1133" s="2" t="inlineStr">
        <is>
          <t>5998312702840</t>
        </is>
      </c>
      <c r="G1133" s="4" t="inlineStr">
        <is>
          <t xml:space="preserve"> • materiál základnej žily: čistá meď bez kyslíka 
 • priemer vlákna: Ø 0,10 mm 
 • štruktúra kábla: 2C x (45 x 0,10 mm) 
 • farba izolácie: červeno - čierna 
 • šírka x výška: 4,4 x 2,2 mm 
 • meter / kotúč: 100 m / kotúč</t>
        </is>
      </c>
    </row>
    <row r="1134">
      <c r="A1134" s="3" t="inlineStr">
        <is>
          <t>KL 0,75T</t>
        </is>
      </c>
      <c r="B1134" s="2" t="inlineStr">
        <is>
          <t>Reprokábel, transparentný, 2x0,75mm, 100m/kotúč</t>
        </is>
      </c>
      <c r="C1134" s="1" t="n">
        <v>1.19</v>
      </c>
      <c r="D1134" s="7" t="n">
        <f>HYPERLINK("https://www.somogyi.sk/product/reprokabel-transparentny-2x0-75mm-100m-kotuc-kl-0-75t-1800","https://www.somogyi.sk/product/reprokabel-transparentny-2x0-75mm-100m-kotuc-kl-0-75t-1800")</f>
        <v>0.0</v>
      </c>
      <c r="E1134" s="7" t="n">
        <f>HYPERLINK("https://www.somogyi.sk/data/img/product_main_images/small/01800.jpg","https://www.somogyi.sk/data/img/product_main_images/small/01800.jpg")</f>
        <v>0.0</v>
      </c>
      <c r="F1134" s="2" t="inlineStr">
        <is>
          <t>5998312702871</t>
        </is>
      </c>
      <c r="G1134" s="4" t="inlineStr">
        <is>
          <t xml:space="preserve"> • materiál základnej žily: čistá meď bez kyslíka 
 • priemer vlákna: Ø 0,10 mm 
 • štruktúra kábla: 2C x (96 x 0,10 mm) 
 • farba izolácie: transparentná 
 • šírka x výška: 4,6 x 2,3 mm 
 • meter / kotúč: 100 m / kotúč</t>
        </is>
      </c>
    </row>
    <row r="1135">
      <c r="A1135" s="3" t="inlineStr">
        <is>
          <t>KLS 0,15</t>
        </is>
      </c>
      <c r="B1135" s="2" t="inlineStr">
        <is>
          <t>Reprokábel, červeno-čierny, 2x0,15 mm, 100 m/kotúč</t>
        </is>
      </c>
      <c r="C1135" s="1" t="n">
        <v>0.19</v>
      </c>
      <c r="D1135" s="7" t="n">
        <f>HYPERLINK("https://www.somogyi.sk/product/reprokabel-cerveno-cierny-2x0-15-mm-100-m-kotuc-kls-0-15-6566","https://www.somogyi.sk/product/reprokabel-cerveno-cierny-2x0-15-mm-100-m-kotuc-kls-0-15-6566")</f>
        <v>0.0</v>
      </c>
      <c r="E1135" s="7" t="n">
        <f>HYPERLINK("https://www.somogyi.sk/data/img/product_main_images/small/06566.jpg","https://www.somogyi.sk/data/img/product_main_images/small/06566.jpg")</f>
        <v>0.0</v>
      </c>
      <c r="F1135" s="2" t="inlineStr">
        <is>
          <t>5998312756065</t>
        </is>
      </c>
      <c r="G1135" s="4" t="inlineStr">
        <is>
          <t xml:space="preserve"> • materiál základnej žily: medený hliník 
 • priemer vlákna: Ø 0,15 mm 
 • štruktúra kábla: 2C x (9 x  0,15 mm) 
 • farba izolácie: červeno - čierna 
 • šírka x výška: 3,6 x 1,8 mm 
 • meter / kotúč: 100 m / kotúč</t>
        </is>
      </c>
    </row>
    <row r="1136">
      <c r="A1136" s="3" t="inlineStr">
        <is>
          <t>KL 1,5</t>
        </is>
      </c>
      <c r="B1136" s="2" t="inlineStr">
        <is>
          <t>Reprokábel, červeno-čierny, 2x1,5mm, 100m/kotúč</t>
        </is>
      </c>
      <c r="C1136" s="1" t="n">
        <v>2.09</v>
      </c>
      <c r="D1136" s="7" t="n">
        <f>HYPERLINK("https://www.somogyi.sk/product/reprokabel-cerveno-cierny-2x1-5mm-100m-kotuc-kl-1-5-2820","https://www.somogyi.sk/product/reprokabel-cerveno-cierny-2x1-5mm-100m-kotuc-kl-1-5-2820")</f>
        <v>0.0</v>
      </c>
      <c r="E1136" s="7" t="n">
        <f>HYPERLINK("https://www.somogyi.sk/data/img/product_main_images/small/02820.jpg","https://www.somogyi.sk/data/img/product_main_images/small/02820.jpg")</f>
        <v>0.0</v>
      </c>
      <c r="F1136" s="2" t="inlineStr">
        <is>
          <t>5998312731444</t>
        </is>
      </c>
      <c r="G1136" s="4" t="inlineStr">
        <is>
          <t xml:space="preserve"> • materiál základnej žily: čistá meď bez kyslíka 
 • priemer vlákna: Ø 0,10 mm 
 • štruktúra kábla: 2C x (7 x 27 x 0,10 mm) 
 • farba izolácie: červeno - čierna 
 • šírka x výška: 7 x 3,5 mm 
 • meter / kotúč: 100 m / kotúč</t>
        </is>
      </c>
    </row>
    <row r="1137">
      <c r="A1137" s="3" t="inlineStr">
        <is>
          <t>KLS 0,5T</t>
        </is>
      </c>
      <c r="B1137" s="2" t="inlineStr">
        <is>
          <t>Reprokábel, transparentný, 2x0,5 mm, 100 m/kotúč</t>
        </is>
      </c>
      <c r="C1137" s="1" t="n">
        <v>0.29</v>
      </c>
      <c r="D1137" s="7" t="n">
        <f>HYPERLINK("https://www.somogyi.sk/product/reprokabel-transparentny-2x0-5-mm-100-m-kotuc-kls-0-5t-6573","https://www.somogyi.sk/product/reprokabel-transparentny-2x0-5-mm-100-m-kotuc-kls-0-5t-6573")</f>
        <v>0.0</v>
      </c>
      <c r="E1137" s="7" t="n">
        <f>HYPERLINK("https://www.somogyi.sk/data/img/product_main_images/small/06573.jpg","https://www.somogyi.sk/data/img/product_main_images/small/06573.jpg")</f>
        <v>0.0</v>
      </c>
      <c r="F1137" s="2" t="inlineStr">
        <is>
          <t>5998312756126</t>
        </is>
      </c>
      <c r="G1137" s="4" t="inlineStr">
        <is>
          <t xml:space="preserve"> • materiál základnej žily: medený hliník 
 • priemer vlákna: Ø 0,15 mm 
 • štruktúra kábla: 2C x (29 x  0,15 mm) 
 • farba izolácie: transparentná 
 • šírka x výška: 5 x 2,5 mm 
 • meter / kotúč: 100 m / kotúč</t>
        </is>
      </c>
    </row>
    <row r="1138">
      <c r="A1138" s="3" t="inlineStr">
        <is>
          <t>KL 0,5</t>
        </is>
      </c>
      <c r="B1138" s="2" t="inlineStr">
        <is>
          <t>Reprokábel, červeno-čierny, 2x0,5mm, 100m/kotúč</t>
        </is>
      </c>
      <c r="C1138" s="1" t="n">
        <v>0.79</v>
      </c>
      <c r="D1138" s="7" t="n">
        <f>HYPERLINK("https://www.somogyi.sk/product/reprokabel-cerveno-cierny-2x0-5mm-100m-kotuc-kl-0-5-1799","https://www.somogyi.sk/product/reprokabel-cerveno-cierny-2x0-5mm-100m-kotuc-kl-0-5-1799")</f>
        <v>0.0</v>
      </c>
      <c r="E1138" s="7" t="n">
        <f>HYPERLINK("https://www.somogyi.sk/data/img/product_main_images/small/01799.jpg","https://www.somogyi.sk/data/img/product_main_images/small/01799.jpg")</f>
        <v>0.0</v>
      </c>
      <c r="F1138" s="2" t="inlineStr">
        <is>
          <t>5998312702857</t>
        </is>
      </c>
      <c r="G1138" s="4" t="inlineStr">
        <is>
          <t xml:space="preserve"> • materiál základnej žily: čistá meď bez kyslíka 
 • priemer vlákna: Ø 0,10 mm 
 • štruktúra kábla: 2C x (64 x 0,10 mm) 
 • farba izolácie: červeno - čierna 
 • šírka x výška: 5 x 2,5 mm 
 • meter / kotúč: 100 m / kotúč</t>
        </is>
      </c>
    </row>
    <row r="1139">
      <c r="A1139" s="3" t="inlineStr">
        <is>
          <t>KL 1,5-10X</t>
        </is>
      </c>
      <c r="B1139" s="2" t="inlineStr">
        <is>
          <t>Reprokábel, červeno-čierny, 2x1,5mm, 10m, blister</t>
        </is>
      </c>
      <c r="C1139" s="1" t="n">
        <v>5.39</v>
      </c>
      <c r="D1139" s="7" t="n">
        <f>HYPERLINK("https://www.somogyi.sk/product/reprokabel-cerveno-cierny-2x1-5mm-10m-blister-kl-1-5-10x-2867","https://www.somogyi.sk/product/reprokabel-cerveno-cierny-2x1-5mm-10m-blister-kl-1-5-10x-2867")</f>
        <v>0.0</v>
      </c>
      <c r="E1139" s="7" t="n">
        <f>HYPERLINK("https://www.somogyi.sk/data/img/product_main_images/small/02867.jpg","https://www.somogyi.sk/data/img/product_main_images/small/02867.jpg")</f>
        <v>0.0</v>
      </c>
      <c r="F1139" s="2" t="inlineStr">
        <is>
          <t>5998312731918</t>
        </is>
      </c>
      <c r="G1139" s="4" t="inlineStr">
        <is>
          <t xml:space="preserve"> • materiál základnej žily: čistá meď bez kyslíka 
 • priemer vlákna: Ø 0,10 mm 
 • štruktúra kábla: 2C x (7 x 27 x 0,10 mm) 
 • farba izolácie: transparentná 
 • šírka x výška: 6 x 3 mm 
 • meter / kotúč: 10 m 
 • blister: áno</t>
        </is>
      </c>
    </row>
    <row r="1140">
      <c r="A1140" s="3" t="inlineStr">
        <is>
          <t>KLS 0,5</t>
        </is>
      </c>
      <c r="B1140" s="2" t="inlineStr">
        <is>
          <t>Reprokábel, červeno-čierny, 2x0,5 mm, 100 m/kotúč</t>
        </is>
      </c>
      <c r="C1140" s="1" t="n">
        <v>0.29</v>
      </c>
      <c r="D1140" s="7" t="n">
        <f>HYPERLINK("https://www.somogyi.sk/product/reprokabel-cerveno-cierny-2x0-5-mm-100-m-kotuc-kls-0-5-6568","https://www.somogyi.sk/product/reprokabel-cerveno-cierny-2x0-5-mm-100-m-kotuc-kls-0-5-6568")</f>
        <v>0.0</v>
      </c>
      <c r="E1140" s="7" t="n">
        <f>HYPERLINK("https://www.somogyi.sk/data/img/product_main_images/small/06568.jpg","https://www.somogyi.sk/data/img/product_main_images/small/06568.jpg")</f>
        <v>0.0</v>
      </c>
      <c r="F1140" s="2" t="inlineStr">
        <is>
          <t>5998312756089</t>
        </is>
      </c>
      <c r="G1140" s="4" t="inlineStr">
        <is>
          <t xml:space="preserve"> • materiál základnej žily: medený hliník 
 • priemer vlákna: Ø 0,15 mm 
 • štruktúra kábla: 2C x (29 x  0,15 mm) 
 • farba izolácie: červeno - čierna 
 • šírka x výška: 5 x 2,5 mm 
 • meter / kotúč: 100 m / kotúč</t>
        </is>
      </c>
    </row>
    <row r="1141">
      <c r="A1141" s="3" t="inlineStr">
        <is>
          <t>KLS 0,75T</t>
        </is>
      </c>
      <c r="B1141" s="2" t="inlineStr">
        <is>
          <t>Reprokábel, transparentný, 2x0,75 mm, 100 m/kotúč</t>
        </is>
      </c>
      <c r="C1141" s="1" t="n">
        <v>0.39</v>
      </c>
      <c r="D1141" s="7" t="n">
        <f>HYPERLINK("https://www.somogyi.sk/product/reprokabel-transparentny-2x0-75-mm-100-m-kotuc-kls-0-75t-6574","https://www.somogyi.sk/product/reprokabel-transparentny-2x0-75-mm-100-m-kotuc-kls-0-75t-6574")</f>
        <v>0.0</v>
      </c>
      <c r="E1141" s="7" t="n">
        <f>HYPERLINK("https://www.somogyi.sk/data/img/product_main_images/small/06574.jpg","https://www.somogyi.sk/data/img/product_main_images/small/06574.jpg")</f>
        <v>0.0</v>
      </c>
      <c r="F1141" s="2" t="inlineStr">
        <is>
          <t>5998312756133</t>
        </is>
      </c>
      <c r="G1141" s="4" t="inlineStr">
        <is>
          <t xml:space="preserve"> • materiál základnej žily: medený hliník 
 • priemer vlákna: Ø 0,15 mm 
 • štruktúra kábla: 2C x (43 x  0,15 mm) 
 • farba izolácie: transparentná 
 • šírka x výška: 5 x 2,5 mm 
 • meter / kotúč: 100 m / kotúč</t>
        </is>
      </c>
    </row>
    <row r="1142">
      <c r="A1142" s="3" t="inlineStr">
        <is>
          <t>KLS 1,5</t>
        </is>
      </c>
      <c r="B1142" s="2" t="inlineStr">
        <is>
          <t>Reprokábel, červeno-čierny, 2x1,5 mm, 100 m/kotúč</t>
        </is>
      </c>
      <c r="C1142" s="1" t="n">
        <v>0.59</v>
      </c>
      <c r="D1142" s="7" t="n">
        <f>HYPERLINK("https://www.somogyi.sk/product/reprokabel-cerveno-cierny-2x1-5-mm-100-m-kotuc-kls-1-5-6571","https://www.somogyi.sk/product/reprokabel-cerveno-cierny-2x1-5-mm-100-m-kotuc-kls-1-5-6571")</f>
        <v>0.0</v>
      </c>
      <c r="E1142" s="7" t="n">
        <f>HYPERLINK("https://www.somogyi.sk/data/img/product_main_images/small/06571.jpg","https://www.somogyi.sk/data/img/product_main_images/small/06571.jpg")</f>
        <v>0.0</v>
      </c>
      <c r="F1142" s="2" t="inlineStr">
        <is>
          <t>5998312756119</t>
        </is>
      </c>
      <c r="G1142" s="4" t="inlineStr">
        <is>
          <t xml:space="preserve"> • materiál základnej žily: medený hliník 
 • priemer vlákna: Ø 0,15 mm 
 • štruktúra kábla: 2C x (85 x  0,15 mm) 
 • farba izolácie: červeno - čierna 
 • šírka x výška: 7 x 3,5 mm 
 • meter / kotúč: 100 m / kotúč</t>
        </is>
      </c>
    </row>
    <row r="1143">
      <c r="A1143" s="3" t="inlineStr">
        <is>
          <t>KL 0,15</t>
        </is>
      </c>
      <c r="B1143" s="2" t="inlineStr">
        <is>
          <t>Reprokábel, červeno-čierny, 2x0,15mm, 100m/kotúč</t>
        </is>
      </c>
      <c r="C1143" s="1" t="n">
        <v>0.29</v>
      </c>
      <c r="D1143" s="7" t="n">
        <f>HYPERLINK("https://www.somogyi.sk/product/reprokabel-cerveno-cierny-2x0-15mm-100m-kotuc-kl-0-15-2520","https://www.somogyi.sk/product/reprokabel-cerveno-cierny-2x0-15mm-100m-kotuc-kl-0-15-2520")</f>
        <v>0.0</v>
      </c>
      <c r="E1143" s="7" t="n">
        <f>HYPERLINK("https://www.somogyi.sk/data/img/product_main_images/small/02520.jpg","https://www.somogyi.sk/data/img/product_main_images/small/02520.jpg")</f>
        <v>0.0</v>
      </c>
      <c r="F1143" s="2" t="inlineStr">
        <is>
          <t>5998312728321</t>
        </is>
      </c>
      <c r="G1143" s="4" t="inlineStr">
        <is>
          <t xml:space="preserve"> • materiál základnej žily: čistá meď bez kyslíka 
 • priemer vlákna: Ø 0,10 mm 
 • štruktúra kábla: 2C x (19 x 0,1 mm) 
 • farba izolácie: červeno - čierna 
 • šírka x výška: 4 x 2 mm 
 • meter / kotúč: 100 m / kotúč</t>
        </is>
      </c>
    </row>
    <row r="1144">
      <c r="A1144" s="3" t="inlineStr">
        <is>
          <t>KL 0,5-10X</t>
        </is>
      </c>
      <c r="B1144" s="2" t="inlineStr">
        <is>
          <t>Reprokábel, červeno-čierny, 2x0,5mm, 10m, blister</t>
        </is>
      </c>
      <c r="C1144" s="1" t="n">
        <v>2.69</v>
      </c>
      <c r="D1144" s="7" t="n">
        <f>HYPERLINK("https://www.somogyi.sk/product/reprokabel-cerveno-cierny-2x0-5mm-10m-blister-kl-0-5-10x-2307","https://www.somogyi.sk/product/reprokabel-cerveno-cierny-2x0-5mm-10m-blister-kl-0-5-10x-2307")</f>
        <v>0.0</v>
      </c>
      <c r="E1144" s="7" t="n">
        <f>HYPERLINK("https://www.somogyi.sk/data/img/product_main_images/small/02307.jpg","https://www.somogyi.sk/data/img/product_main_images/small/02307.jpg")</f>
        <v>0.0</v>
      </c>
      <c r="F1144" s="2" t="inlineStr">
        <is>
          <t>5998312725740</t>
        </is>
      </c>
      <c r="G1144" s="4" t="inlineStr">
        <is>
          <t xml:space="preserve"> • materiál základnej žily: čistá meď bez kyslíka 
 • priemer vlákna: Ø 0,10 mm 
 • štruktúra kábla: 2C x (64 x 0,10 mm) 
 • farba izolácie: červeno - čierna 
 • šírka x výška: 4,4 x 2,2 mm 
 • meter / kotúč: 10 m 
 • blister: áno</t>
        </is>
      </c>
    </row>
    <row r="1145">
      <c r="A1145" s="3" t="inlineStr">
        <is>
          <t>KLS 0,75</t>
        </is>
      </c>
      <c r="B1145" s="2" t="inlineStr">
        <is>
          <t>Reprokábel, červeno-čierny, 2x0,75 mm, 100 m/kotúč</t>
        </is>
      </c>
      <c r="C1145" s="1" t="n">
        <v>0.39</v>
      </c>
      <c r="D1145" s="7" t="n">
        <f>HYPERLINK("https://www.somogyi.sk/product/reprokabel-cerveno-cierny-2x0-75-mm-100-m-kotuc-kls-0-75-6569","https://www.somogyi.sk/product/reprokabel-cerveno-cierny-2x0-75-mm-100-m-kotuc-kls-0-75-6569")</f>
        <v>0.0</v>
      </c>
      <c r="E1145" s="7" t="n">
        <f>HYPERLINK("https://www.somogyi.sk/data/img/product_main_images/small/06569.jpg","https://www.somogyi.sk/data/img/product_main_images/small/06569.jpg")</f>
        <v>0.0</v>
      </c>
      <c r="F1145" s="2" t="inlineStr">
        <is>
          <t>5998312756096</t>
        </is>
      </c>
      <c r="G1145" s="4" t="inlineStr">
        <is>
          <t xml:space="preserve"> • materiál základnej žily: medený hliník 
 • priemer vlákna: Ø 0,15 mm 
 • štruktúra kábla: 2C x (43 x  0,15 mm) 
 • farba izolácie: červeno - čierna 
 • šírka x výška: 5 x 2,5 mm 
 • meter / kotúč: 100 m / kotúč</t>
        </is>
      </c>
    </row>
    <row r="1146">
      <c r="A1146" s="3" t="inlineStr">
        <is>
          <t>KL 2,5T-10X</t>
        </is>
      </c>
      <c r="B1146" s="2" t="inlineStr">
        <is>
          <t>Reprokábel, transparentný, 2x2,5mm, 10m, blister</t>
        </is>
      </c>
      <c r="C1146" s="1" t="n">
        <v>10.69</v>
      </c>
      <c r="D1146" s="7" t="n">
        <f>HYPERLINK("https://www.somogyi.sk/product/reprokabel-transparentny-2x2-5mm-10m-blister-kl-2-5t-10x-2955","https://www.somogyi.sk/product/reprokabel-transparentny-2x2-5mm-10m-blister-kl-2-5t-10x-2955")</f>
        <v>0.0</v>
      </c>
      <c r="E1146" s="7" t="n">
        <f>HYPERLINK("https://www.somogyi.sk/data/img/product_main_images/small/02955.jpg","https://www.somogyi.sk/data/img/product_main_images/small/02955.jpg")</f>
        <v>0.0</v>
      </c>
      <c r="F1146" s="2" t="inlineStr">
        <is>
          <t>5998312732793</t>
        </is>
      </c>
      <c r="G1146" s="4" t="inlineStr">
        <is>
          <t xml:space="preserve"> • materiál základnej žily: čistá meď bez kyslíka 
 • priemer vlákna: Ø 0,10 mm 
 • štruktúra kábla: 2C x (7 x 45 x  0,10 mm) 
 • farba izolácie: transparentná 
 • šírka x výška: 7,6 x 3,8 mm 
 • meter / kotúč: 10 m 
 • blister: áno</t>
        </is>
      </c>
    </row>
    <row r="1147">
      <c r="A1147" s="3" t="inlineStr">
        <is>
          <t>KL 1,5T-10X</t>
        </is>
      </c>
      <c r="B1147" s="2" t="inlineStr">
        <is>
          <t>Reprokábel, transparentný, 2x1,5mm, 10m, blister</t>
        </is>
      </c>
      <c r="C1147" s="1" t="n">
        <v>5.39</v>
      </c>
      <c r="D1147" s="7" t="n">
        <f>HYPERLINK("https://www.somogyi.sk/product/reprokabel-transparentny-2x1-5mm-10m-blister-kl-1-5t-10x-2309","https://www.somogyi.sk/product/reprokabel-transparentny-2x1-5mm-10m-blister-kl-1-5t-10x-2309")</f>
        <v>0.0</v>
      </c>
      <c r="E1147" s="7" t="n">
        <f>HYPERLINK("https://www.somogyi.sk/data/img/product_main_images/small/02309.jpg","https://www.somogyi.sk/data/img/product_main_images/small/02309.jpg")</f>
        <v>0.0</v>
      </c>
      <c r="F1147" s="2" t="inlineStr">
        <is>
          <t>5998312725764</t>
        </is>
      </c>
      <c r="G1147" s="4" t="inlineStr">
        <is>
          <t xml:space="preserve"> • materiál základnej žily: čistá meď bez kyslíka 
 • priemer vlákna: Ø 0,10 mm 
 • štruktúra kábla: 2C x (7 x 27 x 0,10 mm) 
 • farba izolácie: transparentná 
 • šírka x výška: 6 x 3 mm 
 • meter / kotúč: 10 m 
 • blister: áno</t>
        </is>
      </c>
    </row>
    <row r="1148">
      <c r="A1148" s="3" t="inlineStr">
        <is>
          <t>KL 0,35-10X</t>
        </is>
      </c>
      <c r="B1148" s="2" t="inlineStr">
        <is>
          <t>Reprokábel, červeno-čierny, 2x0,35mm, 10m,blister</t>
        </is>
      </c>
      <c r="C1148" s="1" t="n">
        <v>2.29</v>
      </c>
      <c r="D1148" s="7" t="n">
        <f>HYPERLINK("https://www.somogyi.sk/product/reprokabel-cerveno-cierny-2x0-35mm-10m-blister-kl-0-35-10x-2306","https://www.somogyi.sk/product/reprokabel-cerveno-cierny-2x0-35mm-10m-blister-kl-0-35-10x-2306")</f>
        <v>0.0</v>
      </c>
      <c r="E1148" s="7" t="n">
        <f>HYPERLINK("https://www.somogyi.sk/data/img/product_main_images/small/02306.jpg","https://www.somogyi.sk/data/img/product_main_images/small/02306.jpg")</f>
        <v>0.0</v>
      </c>
      <c r="F1148" s="2" t="inlineStr">
        <is>
          <t>5998312725733</t>
        </is>
      </c>
      <c r="G1148" s="4" t="inlineStr">
        <is>
          <t xml:space="preserve"> • materiál základnej žily: čistá meď bez kyslíka 
 • priemer vlákna: Ø 0,10 mm 
 • štruktúra kábla: 2C x (45 x 0,10 mm) 
 • farba izolácie: červeno - čierna 
 • šírka x výška: 4 x 2 mm 
 • meter / kotúč: 10 m 
 • blister: áno</t>
        </is>
      </c>
    </row>
    <row r="1149">
      <c r="A1149" s="3" t="inlineStr">
        <is>
          <t>KL 2,5T</t>
        </is>
      </c>
      <c r="B1149" s="2" t="inlineStr">
        <is>
          <t>Reprokábel, transparentný, 2x2,5mm, 50m/kotúč</t>
        </is>
      </c>
      <c r="C1149" s="1" t="n">
        <v>3.39</v>
      </c>
      <c r="D1149" s="7" t="n">
        <f>HYPERLINK("https://www.somogyi.sk/product/reprokabel-transparentny-2x2-5mm-50m-kotuc-kl-2-5t-2625","https://www.somogyi.sk/product/reprokabel-transparentny-2x2-5mm-50m-kotuc-kl-2-5t-2625")</f>
        <v>0.0</v>
      </c>
      <c r="E1149" s="7" t="n">
        <f>HYPERLINK("https://www.somogyi.sk/data/img/product_main_images/small/02625.jpg","https://www.somogyi.sk/data/img/product_main_images/small/02625.jpg")</f>
        <v>0.0</v>
      </c>
      <c r="F1149" s="2" t="inlineStr">
        <is>
          <t>5998312729403</t>
        </is>
      </c>
      <c r="G1149" s="4" t="inlineStr">
        <is>
          <t xml:space="preserve"> • materiál základnej žily: čistá meď bez kyslíka 
 • priemer vlákna: Ø 0,10 mm 
 • štruktúra kábla: 2C x (7 x 45 x  0,10 mm) 
 • farba izolácie: transparentná 
 • šírka x výška: 7,6 x 3,8 mm 
 • meter / kotúč: 50 m / kotúč</t>
        </is>
      </c>
    </row>
    <row r="1150">
      <c r="A1150" s="3" t="inlineStr">
        <is>
          <t>KL 1</t>
        </is>
      </c>
      <c r="B1150" s="2" t="inlineStr">
        <is>
          <t>Reprokábel, červeno-čierny, 2x1mm, 100m/kotúč</t>
        </is>
      </c>
      <c r="C1150" s="1" t="n">
        <v>1.49</v>
      </c>
      <c r="D1150" s="7" t="n">
        <f>HYPERLINK("https://www.somogyi.sk/product/reprokabel-cerveno-cierny-2x1mm-100m-kotuc-kl-1-2819","https://www.somogyi.sk/product/reprokabel-cerveno-cierny-2x1mm-100m-kotuc-kl-1-2819")</f>
        <v>0.0</v>
      </c>
      <c r="E1150" s="7" t="n">
        <f>HYPERLINK("https://www.somogyi.sk/data/img/product_main_images/small/02819.jpg","https://www.somogyi.sk/data/img/product_main_images/small/02819.jpg")</f>
        <v>0.0</v>
      </c>
      <c r="F1150" s="2" t="inlineStr">
        <is>
          <t>5998312731437</t>
        </is>
      </c>
      <c r="G1150" s="4" t="inlineStr">
        <is>
          <t xml:space="preserve"> • materiál základnej žily: čistá meď bez kyslíka 
 • priemer vlákna: Ø 0,10 mm 
 • štruktúra kábla: 2C x (127 x 0,10 mm) 
 • farba izolácie: červeno - čierna 
 • šírka x výška: 6 x 3 mm 
 • meter / kotúč: 100 m / kotúč</t>
        </is>
      </c>
    </row>
    <row r="1151">
      <c r="A1151" s="3" t="inlineStr">
        <is>
          <t>KLS 6T</t>
        </is>
      </c>
      <c r="B1151" s="2" t="inlineStr">
        <is>
          <t>Reprokábel, transparentný, 2x6 mm, 25 m/kotúč</t>
        </is>
      </c>
      <c r="C1151" s="1" t="n">
        <v>2.09</v>
      </c>
      <c r="D1151" s="7" t="n">
        <f>HYPERLINK("https://www.somogyi.sk/product/reprokabel-transparentny-2x6-mm-25-m-kotuc-kls-6t-6579","https://www.somogyi.sk/product/reprokabel-transparentny-2x6-mm-25-m-kotuc-kls-6t-6579")</f>
        <v>0.0</v>
      </c>
      <c r="E1151" s="7" t="n">
        <f>HYPERLINK("https://www.somogyi.sk/data/img/product_main_images/small/06579.jpg","https://www.somogyi.sk/data/img/product_main_images/small/06579.jpg")</f>
        <v>0.0</v>
      </c>
      <c r="F1151" s="2" t="inlineStr">
        <is>
          <t>5998312756188</t>
        </is>
      </c>
      <c r="G1151" s="4" t="inlineStr">
        <is>
          <t xml:space="preserve"> • materiál základnej žily: medený hliník 
 • priemer vlákna: Ø 0,15 mm 
 • štruktúra kábla: 2C x (7 x 49 x 0,15 mm) 
 • farba izolácie: transparentná 
 • šírka x výška: 12 x 6 mm 
 • meter / kotúč: 25 m / kotúč</t>
        </is>
      </c>
    </row>
    <row r="1152">
      <c r="A1152" s="3" t="inlineStr">
        <is>
          <t>KLS 1T</t>
        </is>
      </c>
      <c r="B1152" s="2" t="inlineStr">
        <is>
          <t>Reprokábel, transparentný, 2x1 mm, 100 m/kotúč</t>
        </is>
      </c>
      <c r="C1152" s="1" t="n">
        <v>0.49</v>
      </c>
      <c r="D1152" s="7" t="n">
        <f>HYPERLINK("https://www.somogyi.sk/product/reprokabel-transparentny-2x1-mm-100-m-kotuc-kls-1t-6575","https://www.somogyi.sk/product/reprokabel-transparentny-2x1-mm-100-m-kotuc-kls-1t-6575")</f>
        <v>0.0</v>
      </c>
      <c r="E1152" s="7" t="n">
        <f>HYPERLINK("https://www.somogyi.sk/data/img/product_main_images/small/06575.jpg","https://www.somogyi.sk/data/img/product_main_images/small/06575.jpg")</f>
        <v>0.0</v>
      </c>
      <c r="F1152" s="2" t="inlineStr">
        <is>
          <t>5998312756140</t>
        </is>
      </c>
      <c r="G1152" s="4" t="inlineStr">
        <is>
          <t xml:space="preserve"> • materiál základnej žily: medený hliník 
 • priemer vlákna: Ø 0,15 mm 
 • štruktúra kábla: 2C x (57 x  0,15 mm) 
 • farba izolácie: transparentná 
 • šírka x výška: 6 x 3 mm 
 • meter / kotúč: 100 m / kotúč</t>
        </is>
      </c>
    </row>
    <row r="1153">
      <c r="A1153" s="3" t="inlineStr">
        <is>
          <t>KLS 1,5T</t>
        </is>
      </c>
      <c r="B1153" s="2" t="inlineStr">
        <is>
          <t>Reprokábel, transparentný, 2x1,5 mm, 100 m/kotúč</t>
        </is>
      </c>
      <c r="C1153" s="1" t="n">
        <v>0.59</v>
      </c>
      <c r="D1153" s="7" t="n">
        <f>HYPERLINK("https://www.somogyi.sk/product/reprokabel-transparentny-2x1-5-mm-100-m-kotuc-kls-1-5t-6576","https://www.somogyi.sk/product/reprokabel-transparentny-2x1-5-mm-100-m-kotuc-kls-1-5t-6576")</f>
        <v>0.0</v>
      </c>
      <c r="E1153" s="7" t="n">
        <f>HYPERLINK("https://www.somogyi.sk/data/img/product_main_images/small/06576.jpg","https://www.somogyi.sk/data/img/product_main_images/small/06576.jpg")</f>
        <v>0.0</v>
      </c>
      <c r="F1153" s="2" t="inlineStr">
        <is>
          <t>5998312756157</t>
        </is>
      </c>
      <c r="G1153" s="4" t="inlineStr">
        <is>
          <t xml:space="preserve"> • materiál základnej žily: medený hliník 
 • priemer vlákna: Ø 0,15 mm 
 • štruktúra kábla: 2C x (85 x  0,15 mm) 
 • farba izolácie: transparentná 
 • šírka x výška: 7 x 3,5 mm 
 • meter / kotúč: 100 m / kotúč</t>
        </is>
      </c>
    </row>
    <row r="1154">
      <c r="A1154" s="3" t="inlineStr">
        <is>
          <t>KLS 1</t>
        </is>
      </c>
      <c r="B1154" s="2" t="inlineStr">
        <is>
          <t>Reprokábel, červeno-čierny, 2x1 mm, 100 m/kotúč</t>
        </is>
      </c>
      <c r="C1154" s="1" t="n">
        <v>0.49</v>
      </c>
      <c r="D1154" s="7" t="n">
        <f>HYPERLINK("https://www.somogyi.sk/product/reprokabel-cerveno-cierny-2x1-mm-100-m-kotuc-kls-1-6570","https://www.somogyi.sk/product/reprokabel-cerveno-cierny-2x1-mm-100-m-kotuc-kls-1-6570")</f>
        <v>0.0</v>
      </c>
      <c r="E1154" s="7" t="n">
        <f>HYPERLINK("https://www.somogyi.sk/data/img/product_main_images/small/06570.jpg","https://www.somogyi.sk/data/img/product_main_images/small/06570.jpg")</f>
        <v>0.0</v>
      </c>
      <c r="F1154" s="2" t="inlineStr">
        <is>
          <t>5998312756102</t>
        </is>
      </c>
      <c r="G1154" s="4" t="inlineStr">
        <is>
          <t xml:space="preserve"> • materiál základnej žily: medený hliník 
 • priemer vlákna: Ø 0,15 mm 
 • štruktúra kábla: 2C x (57 x  0,15 mm) 
 • farba izolácie: červeno - čierna 
 • šírka x výška: 6 x 3 mm 
 • meter / kotúč: 100 m / kotúč</t>
        </is>
      </c>
    </row>
    <row r="1155">
      <c r="A1155" s="3" t="inlineStr">
        <is>
          <t>KLS 2,5T</t>
        </is>
      </c>
      <c r="B1155" s="2" t="inlineStr">
        <is>
          <t>Reprokábel, transparentný, 2x2,5 mm, 50 m/kotúč</t>
        </is>
      </c>
      <c r="C1155" s="1" t="n">
        <v>1.09</v>
      </c>
      <c r="D1155" s="7" t="n">
        <f>HYPERLINK("https://www.somogyi.sk/product/reprokabel-transparentny-2x2-5-mm-50-m-kotuc-kls-2-5t-6577","https://www.somogyi.sk/product/reprokabel-transparentny-2x2-5-mm-50-m-kotuc-kls-2-5t-6577")</f>
        <v>0.0</v>
      </c>
      <c r="E1155" s="7" t="n">
        <f>HYPERLINK("https://www.somogyi.sk/data/img/product_main_images/small/06577.jpg","https://www.somogyi.sk/data/img/product_main_images/small/06577.jpg")</f>
        <v>0.0</v>
      </c>
      <c r="F1155" s="2" t="inlineStr">
        <is>
          <t>5998312756164</t>
        </is>
      </c>
      <c r="G1155" s="4" t="inlineStr">
        <is>
          <t xml:space="preserve"> • materiál základnej žily: medený hliník 
 • priemer vlákna: Ø 0,15 mm 
 • štruktúra kábla: 2C x (7 x 21 x 0,15 mm) 
 • farba izolácie: transparentná 
 • šírka x výška: 9 x 4,5 mm 
 • meter / kotúč: 50 m / kotúč</t>
        </is>
      </c>
    </row>
    <row r="1156">
      <c r="A1156" s="3" t="inlineStr">
        <is>
          <t>KL 0,35-20X</t>
        </is>
      </c>
      <c r="B1156" s="2" t="inlineStr">
        <is>
          <t>Reprokábel, červeno-čierny, 2x0,35mm, 20m, blister</t>
        </is>
      </c>
      <c r="C1156" s="1" t="n">
        <v>4.29</v>
      </c>
      <c r="D1156" s="7" t="n">
        <f>HYPERLINK("https://www.somogyi.sk/product/reprokabel-cerveno-cierny-2x0-35mm-20m-blister-kl-0-35-20x-2943","https://www.somogyi.sk/product/reprokabel-cerveno-cierny-2x0-35mm-20m-blister-kl-0-35-20x-2943")</f>
        <v>0.0</v>
      </c>
      <c r="E1156" s="7" t="n">
        <f>HYPERLINK("https://www.somogyi.sk/data/img/product_main_images/small/02943.jpg","https://www.somogyi.sk/data/img/product_main_images/small/02943.jpg")</f>
        <v>0.0</v>
      </c>
      <c r="F1156" s="2" t="inlineStr">
        <is>
          <t>5998312732670</t>
        </is>
      </c>
      <c r="G1156" s="4" t="inlineStr">
        <is>
          <t xml:space="preserve"> • materiál základnej žily: čistá meď bez kyslíka 
 • priemer vlákna: Ø 0,10 mm 
 • štruktúra kábla: 2C x (45 x 0,10 mm) 
 • farba izolácie: červeno - čierna 
 • šírka x výška: 4 x 2 mm 
 • meter / kotúč: 20 m 
 • blister: áno</t>
        </is>
      </c>
    </row>
    <row r="1157">
      <c r="A1157" s="3" t="inlineStr">
        <is>
          <t>KLS 4T</t>
        </is>
      </c>
      <c r="B1157" s="2" t="inlineStr">
        <is>
          <t>Reprokábel, transparentný, 2x4 mm, 50 m/kotúč</t>
        </is>
      </c>
      <c r="C1157" s="1" t="n">
        <v>1.69</v>
      </c>
      <c r="D1157" s="7" t="n">
        <f>HYPERLINK("https://www.somogyi.sk/product/reprokabel-transparentny-2x4-mm-50-m-kotuc-kls-4t-6578","https://www.somogyi.sk/product/reprokabel-transparentny-2x4-mm-50-m-kotuc-kls-4t-6578")</f>
        <v>0.0</v>
      </c>
      <c r="E1157" s="7" t="n">
        <f>HYPERLINK("https://www.somogyi.sk/data/img/product_main_images/small/06578.jpg","https://www.somogyi.sk/data/img/product_main_images/small/06578.jpg")</f>
        <v>0.0</v>
      </c>
      <c r="F1157" s="2" t="inlineStr">
        <is>
          <t>5998312756171</t>
        </is>
      </c>
      <c r="G1157" s="4" t="inlineStr">
        <is>
          <t xml:space="preserve"> • materiál základnej žily: medený hliník 
 • priemer vlákna: Ø 0,15 mm 
 • štruktúra kábla: 2C x (7 x 33 x 0,15 mm) 
 • farba izolácie: transparentná 
 • šírka x výška: 8,8 x 4,4 mm 
 • meter / kotúč: 50 m / kotúč</t>
        </is>
      </c>
    </row>
    <row r="1158">
      <c r="A1158" s="3" t="inlineStr">
        <is>
          <t>KLS 0,35</t>
        </is>
      </c>
      <c r="B1158" s="2" t="inlineStr">
        <is>
          <t>Reprokábel, červeno-čierny, 2x0,35 mm, 100 m/kotúč</t>
        </is>
      </c>
      <c r="C1158" s="1" t="n">
        <v>0.29</v>
      </c>
      <c r="D1158" s="7" t="n">
        <f>HYPERLINK("https://www.somogyi.sk/product/reprokabel-cerveno-cierny-2x0-35-mm-100-m-kotuc-kls-0-35-6567","https://www.somogyi.sk/product/reprokabel-cerveno-cierny-2x0-35-mm-100-m-kotuc-kls-0-35-6567")</f>
        <v>0.0</v>
      </c>
      <c r="E1158" s="7" t="n">
        <f>HYPERLINK("https://www.somogyi.sk/data/img/product_main_images/small/06567.jpg","https://www.somogyi.sk/data/img/product_main_images/small/06567.jpg")</f>
        <v>0.0</v>
      </c>
      <c r="F1158" s="2" t="inlineStr">
        <is>
          <t>5998312756072</t>
        </is>
      </c>
      <c r="G1158" s="4" t="inlineStr">
        <is>
          <t xml:space="preserve"> • materiál základnej žily: medený hliník 
 • priemer vlákna: Ø 0,15 mm 
 • štruktúra kábla: 2C x (20 x  0,15 mm) 
 • farba izolácie: červeno - čierna 
 • šírka x výška: 4,4 x 2,2 mm 
 • meter / kotúč: 100 m / kotúč</t>
        </is>
      </c>
    </row>
    <row r="1159">
      <c r="A1159" s="6" t="inlineStr">
        <is>
          <t xml:space="preserve">   Zvuková technika / Výhybka</t>
        </is>
      </c>
      <c r="B1159" s="6" t="inlineStr">
        <is>
          <t/>
        </is>
      </c>
      <c r="C1159" s="6" t="inlineStr">
        <is>
          <t/>
        </is>
      </c>
      <c r="D1159" s="6" t="inlineStr">
        <is>
          <t/>
        </is>
      </c>
      <c r="E1159" s="6" t="inlineStr">
        <is>
          <t/>
        </is>
      </c>
      <c r="F1159" s="6" t="inlineStr">
        <is>
          <t/>
        </is>
      </c>
      <c r="G1159" s="6" t="inlineStr">
        <is>
          <t/>
        </is>
      </c>
    </row>
    <row r="1160">
      <c r="A1160" s="3" t="inlineStr">
        <is>
          <t>HV 228</t>
        </is>
      </c>
      <c r="B1160" s="2" t="inlineStr">
        <is>
          <t>Výhybka</t>
        </is>
      </c>
      <c r="C1160" s="1" t="n">
        <v>24.29</v>
      </c>
      <c r="D1160" s="7" t="n">
        <f>HYPERLINK("https://www.somogyi.sk/product/vyhybka-hv-228-4300","https://www.somogyi.sk/product/vyhybka-hv-228-4300")</f>
        <v>0.0</v>
      </c>
      <c r="E1160" s="7" t="n">
        <f>HYPERLINK("https://www.somogyi.sk/data/img/product_main_images/small/04300.jpg","https://www.somogyi.sk/data/img/product_main_images/small/04300.jpg")</f>
        <v>0.0</v>
      </c>
      <c r="F1160" s="2" t="inlineStr">
        <is>
          <t>5998312737637</t>
        </is>
      </c>
      <c r="G1160" s="4" t="inlineStr">
        <is>
          <t xml:space="preserve"> • zaťažiteľnosť: max. 200 W 
 • impedancia reproduktora: 8 Ohm 
 • deliaci kmitočet: 3000 Hz 
 • strmosť: 12 dB / oktáv 
 • prepínateľný výstup: vysoký: 0 / -3 dB 
 • rozmery: 120 x 28 x 95 mm</t>
        </is>
      </c>
    </row>
    <row r="1161">
      <c r="A1161" s="3" t="inlineStr">
        <is>
          <t>HV 328</t>
        </is>
      </c>
      <c r="B1161" s="2" t="inlineStr">
        <is>
          <t>Výhybka</t>
        </is>
      </c>
      <c r="C1161" s="1" t="n">
        <v>48.29</v>
      </c>
      <c r="D1161" s="7" t="n">
        <f>HYPERLINK("https://www.somogyi.sk/product/vyhybka-hv-328-4301","https://www.somogyi.sk/product/vyhybka-hv-328-4301")</f>
        <v>0.0</v>
      </c>
      <c r="E1161" s="7" t="n">
        <f>HYPERLINK("https://www.somogyi.sk/data/img/product_main_images/small/04301.jpg","https://www.somogyi.sk/data/img/product_main_images/small/04301.jpg")</f>
        <v>0.0</v>
      </c>
      <c r="F1161" s="2" t="inlineStr">
        <is>
          <t>5998312737644</t>
        </is>
      </c>
      <c r="G1161" s="4" t="inlineStr">
        <is>
          <t xml:space="preserve"> • zaťažiteľnosť: 200 W 
 • impedancia reproduktora: 8 Ohm 
 • deliaci kmitočet: 500 Hz / 3000 Hz 
 • strmosť: 12 dB / oktáv 
 • prepínateľný výstup: vysoký: 0 / -3dB, stred: 0 / -2 dB 
 • rozmery: 160 x 30 x 137 mm</t>
        </is>
      </c>
    </row>
    <row r="1162">
      <c r="A1162" s="3" t="inlineStr">
        <is>
          <t>HVP 28</t>
        </is>
      </c>
      <c r="B1162" s="2" t="inlineStr">
        <is>
          <t>Výhybka</t>
        </is>
      </c>
      <c r="C1162" s="1" t="n">
        <v>35.69</v>
      </c>
      <c r="D1162" s="7" t="n">
        <f>HYPERLINK("https://www.somogyi.sk/product/vyhybka-hvp-28-8714","https://www.somogyi.sk/product/vyhybka-hvp-28-8714")</f>
        <v>0.0</v>
      </c>
      <c r="E1162" s="7" t="n">
        <f>HYPERLINK("https://www.somogyi.sk/data/img/product_main_images/small/08714.jpg","https://www.somogyi.sk/data/img/product_main_images/small/08714.jpg")</f>
        <v>0.0</v>
      </c>
      <c r="F1162" s="2" t="inlineStr">
        <is>
          <t>5998312775981</t>
        </is>
      </c>
      <c r="G1162" s="4" t="inlineStr">
        <is>
          <t xml:space="preserve"> • zaťažiteľnosť: max. 600 W 
 • impedancia reproduktora: 8 Ohm 
 • deliaci kmitočet: 2800 Hz 
 • strmosť: basový: 12 dB / oktáv, výškový: 18 dB / oktáv 
 • rozmery: 150 x 28 x 95 mm</t>
        </is>
      </c>
    </row>
    <row r="1163">
      <c r="A1163" s="6" t="inlineStr">
        <is>
          <t xml:space="preserve">   Zvuková technika / Konektor k zvukovej technike</t>
        </is>
      </c>
      <c r="B1163" s="6" t="inlineStr">
        <is>
          <t/>
        </is>
      </c>
      <c r="C1163" s="6" t="inlineStr">
        <is>
          <t/>
        </is>
      </c>
      <c r="D1163" s="6" t="inlineStr">
        <is>
          <t/>
        </is>
      </c>
      <c r="E1163" s="6" t="inlineStr">
        <is>
          <t/>
        </is>
      </c>
      <c r="F1163" s="6" t="inlineStr">
        <is>
          <t/>
        </is>
      </c>
      <c r="G1163" s="6" t="inlineStr">
        <is>
          <t/>
        </is>
      </c>
    </row>
    <row r="1164">
      <c r="A1164" s="3" t="inlineStr">
        <is>
          <t>SL 5</t>
        </is>
      </c>
      <c r="B1164" s="2" t="inlineStr">
        <is>
          <t>Reproduktorová vidlica, skrutkovateľná</t>
        </is>
      </c>
      <c r="C1164" s="1" t="n">
        <v>0.69</v>
      </c>
      <c r="D1164" s="7" t="n">
        <f>HYPERLINK("https://www.somogyi.sk/product/reproduktorova-vidlica-skrutkovatelna-sl-5-4270","https://www.somogyi.sk/product/reproduktorova-vidlica-skrutkovatelna-sl-5-4270")</f>
        <v>0.0</v>
      </c>
      <c r="E1164" s="7" t="n">
        <f>HYPERLINK("https://www.somogyi.sk/data/img/product_main_images/small/04270.jpg","https://www.somogyi.sk/data/img/product_main_images/small/04270.jpg")</f>
        <v>0.0</v>
      </c>
      <c r="F1164" s="2" t="inlineStr">
        <is>
          <t>5998312708958</t>
        </is>
      </c>
      <c r="G1164" s="4" t="inlineStr">
        <is>
          <t xml:space="preserve"> • počet pólov: 2 pólová 
 • pozlátená prípojka: nie 
 • pripojenie: nie 
 • zapojenie: skrutkovateľné</t>
        </is>
      </c>
    </row>
    <row r="1165">
      <c r="A1165" s="3" t="inlineStr">
        <is>
          <t>S 1090X</t>
        </is>
      </c>
      <c r="B1165" s="2" t="inlineStr">
        <is>
          <t>4 pólová Speakonová vidlica, blister</t>
        </is>
      </c>
      <c r="C1165" s="1" t="n">
        <v>4.79</v>
      </c>
      <c r="D1165" s="7" t="n">
        <f>HYPERLINK("https://www.somogyi.sk/product/4-polova-speakonova-vidlica-blister-s-1090x-5283","https://www.somogyi.sk/product/4-polova-speakonova-vidlica-blister-s-1090x-5283")</f>
        <v>0.0</v>
      </c>
      <c r="E1165" s="7" t="n">
        <f>HYPERLINK("https://www.somogyi.sk/data/img/product_main_images/small/05283.jpg","https://www.somogyi.sk/data/img/product_main_images/small/05283.jpg")</f>
        <v>0.0</v>
      </c>
      <c r="F1165" s="2" t="inlineStr">
        <is>
          <t>5998312746707</t>
        </is>
      </c>
      <c r="G1165" s="4" t="inlineStr">
        <is>
          <t xml:space="preserve"> • počet pólov: 4 pólová 
 • pozlátená prípojka: nie 
 • pripojenie: nie 
 • zapojenie: skrutkovateľné 
 • blister: áno</t>
        </is>
      </c>
    </row>
    <row r="1166">
      <c r="A1166" s="3" t="inlineStr">
        <is>
          <t>SL 6MG</t>
        </is>
      </c>
      <c r="B1166" s="2" t="inlineStr">
        <is>
          <t>Reproduktorová zásuvka, 2 pólová, pozlátená</t>
        </is>
      </c>
      <c r="C1166" s="1" t="n">
        <v>3.49</v>
      </c>
      <c r="D1166" s="7" t="n">
        <f>HYPERLINK("https://www.somogyi.sk/product/reproduktorova-zasuvka-2-polova-pozlatena-sl-6mg-2596","https://www.somogyi.sk/product/reproduktorova-zasuvka-2-polova-pozlatena-sl-6mg-2596")</f>
        <v>0.0</v>
      </c>
      <c r="E1166" s="7" t="n">
        <f>HYPERLINK("https://www.somogyi.sk/data/img/product_main_images/small/02596.jpg","https://www.somogyi.sk/data/img/product_main_images/small/02596.jpg")</f>
        <v>0.0</v>
      </c>
      <c r="F1166" s="2" t="inlineStr">
        <is>
          <t>5998312729113</t>
        </is>
      </c>
      <c r="G1166" s="4" t="inlineStr">
        <is>
          <t xml:space="preserve"> • počet pólov: 2 pólová 
 • pozlátená prípojka: áno 
 • pripojenie: banánikové + skrutkovateľné 
 • zapojenie: spájkovateľná 
 • rozmery: Ø105 mm</t>
        </is>
      </c>
    </row>
    <row r="1167">
      <c r="A1167" s="3" t="inlineStr">
        <is>
          <t>SL 2ER</t>
        </is>
      </c>
      <c r="B1167" s="2" t="inlineStr">
        <is>
          <t>Reproduktorová zásuvka, 2 pólová, pružinová</t>
        </is>
      </c>
      <c r="C1167" s="1" t="n">
        <v>0.49</v>
      </c>
      <c r="D1167" s="7" t="n">
        <f>HYPERLINK("https://www.somogyi.sk/product/reproduktorova-zasuvka-2-polova-pruzinova-sl-2er-1875","https://www.somogyi.sk/product/reproduktorova-zasuvka-2-polova-pruzinova-sl-2er-1875")</f>
        <v>0.0</v>
      </c>
      <c r="E1167" s="7" t="n">
        <f>HYPERLINK("https://www.somogyi.sk/data/img/product_main_images/small/01875.jpg","https://www.somogyi.sk/data/img/product_main_images/small/01875.jpg")</f>
        <v>0.0</v>
      </c>
      <c r="F1167" s="2" t="inlineStr">
        <is>
          <t>5998312704240</t>
        </is>
      </c>
      <c r="G1167" s="4" t="inlineStr">
        <is>
          <t xml:space="preserve"> • počet pólov: 2 pólová 
 • pozlátená prípojka: nie 
 • pripojenie: pružinové 
 • zapojenie: spájkovateľná 
 • rozmery: 52 x 22 mm</t>
        </is>
      </c>
    </row>
    <row r="1168">
      <c r="A1168" s="3" t="inlineStr">
        <is>
          <t>SPK 900</t>
        </is>
      </c>
      <c r="B1168" s="2" t="inlineStr">
        <is>
          <t>Speakon vidlica, 4 pólová</t>
        </is>
      </c>
      <c r="C1168" s="1" t="n">
        <v>4.99</v>
      </c>
      <c r="D1168" s="7" t="n">
        <f>HYPERLINK("https://www.somogyi.sk/product/speakon-vidlica-4-polova-spk-900-4202","https://www.somogyi.sk/product/speakon-vidlica-4-polova-spk-900-4202")</f>
        <v>0.0</v>
      </c>
      <c r="E1168" s="7" t="n">
        <f>HYPERLINK("https://www.somogyi.sk/data/img/product_main_images/small/04202.jpg","https://www.somogyi.sk/data/img/product_main_images/small/04202.jpg")</f>
        <v>0.0</v>
      </c>
      <c r="F1168" s="2" t="inlineStr">
        <is>
          <t>5998312737170</t>
        </is>
      </c>
      <c r="G1168" s="4" t="inlineStr">
        <is>
          <t xml:space="preserve"> • počet pólov: 4 pólová 
 • pozlátená prípojka: nie 
 • pripojenie: nie 
 • zapojenie: skrutkovateľné</t>
        </is>
      </c>
    </row>
    <row r="1169">
      <c r="A1169" s="3" t="inlineStr">
        <is>
          <t>S 23</t>
        </is>
      </c>
      <c r="B1169" s="2" t="inlineStr">
        <is>
          <t>Mikrofónová vidlica, 3-pólová</t>
        </is>
      </c>
      <c r="C1169" s="1" t="n">
        <v>1.79</v>
      </c>
      <c r="D1169" s="7" t="n">
        <f>HYPERLINK("https://www.somogyi.sk/product/mikrofonova-vidlica-3-polova-s-23-1821","https://www.somogyi.sk/product/mikrofonova-vidlica-3-polova-s-23-1821")</f>
        <v>0.0</v>
      </c>
      <c r="E1169" s="7" t="n">
        <f>HYPERLINK("https://www.somogyi.sk/data/img/product_main_images/small/01821.jpg","https://www.somogyi.sk/data/img/product_main_images/small/01821.jpg")</f>
        <v>0.0</v>
      </c>
      <c r="F1169" s="2" t="inlineStr">
        <is>
          <t>5998312703441</t>
        </is>
      </c>
      <c r="G1169" s="4" t="inlineStr">
        <is>
          <t xml:space="preserve"> • počet pólov: 3 pólová 
 • pozlátená prípojka: nie 
 • pripojenie: nie 
 • zapojenie: spájkovateľná</t>
        </is>
      </c>
    </row>
    <row r="1170">
      <c r="A1170" s="3" t="inlineStr">
        <is>
          <t>S 24</t>
        </is>
      </c>
      <c r="B1170" s="2" t="inlineStr">
        <is>
          <t>Mikrofónová zásuvka, voľná, 3-pólová</t>
        </is>
      </c>
      <c r="C1170" s="1" t="n">
        <v>1.89</v>
      </c>
      <c r="D1170" s="7" t="n">
        <f>HYPERLINK("https://www.somogyi.sk/product/mikrofonova-zasuvka-volna-3-polova-s-24-1822","https://www.somogyi.sk/product/mikrofonova-zasuvka-volna-3-polova-s-24-1822")</f>
        <v>0.0</v>
      </c>
      <c r="E1170" s="7" t="n">
        <f>HYPERLINK("https://www.somogyi.sk/data/img/product_main_images/small/01822.jpg","https://www.somogyi.sk/data/img/product_main_images/small/01822.jpg")</f>
        <v>0.0</v>
      </c>
      <c r="F1170" s="2" t="inlineStr">
        <is>
          <t>5998312703458</t>
        </is>
      </c>
      <c r="G1170" s="4" t="inlineStr">
        <is>
          <t xml:space="preserve"> • počet pólov: 3 pólová 
 • pozlátená prípojka: nie 
 • pripojenie: nie 
 • zapojenie: spájkovateľná</t>
        </is>
      </c>
    </row>
    <row r="1171">
      <c r="A1171" s="6" t="inlineStr">
        <is>
          <t xml:space="preserve">   Zvuková technika / Príslušenstvo k zvukovej technike</t>
        </is>
      </c>
      <c r="B1171" s="6" t="inlineStr">
        <is>
          <t/>
        </is>
      </c>
      <c r="C1171" s="6" t="inlineStr">
        <is>
          <t/>
        </is>
      </c>
      <c r="D1171" s="6" t="inlineStr">
        <is>
          <t/>
        </is>
      </c>
      <c r="E1171" s="6" t="inlineStr">
        <is>
          <t/>
        </is>
      </c>
      <c r="F1171" s="6" t="inlineStr">
        <is>
          <t/>
        </is>
      </c>
      <c r="G1171" s="6" t="inlineStr">
        <is>
          <t/>
        </is>
      </c>
    </row>
    <row r="1172">
      <c r="A1172" s="3" t="inlineStr">
        <is>
          <t>HT 401</t>
        </is>
      </c>
      <c r="B1172" s="2" t="inlineStr">
        <is>
          <t>Chránič reproduktorových rohov, plast 37 x 37 x 55 mm</t>
        </is>
      </c>
      <c r="C1172" s="1" t="n">
        <v>0.59</v>
      </c>
      <c r="D1172" s="7" t="n">
        <f>HYPERLINK("https://www.somogyi.sk/product/chranic-reproduktorovych-rohov-plast-37-x-37-x-55-mm-ht-401-2672","https://www.somogyi.sk/product/chranic-reproduktorovych-rohov-plast-37-x-37-x-55-mm-ht-401-2672")</f>
        <v>0.0</v>
      </c>
      <c r="E1172" s="7" t="n">
        <f>HYPERLINK("https://www.somogyi.sk/data/img/product_main_images/small/02672.jpg","https://www.somogyi.sk/data/img/product_main_images/small/02672.jpg")</f>
        <v>0.0</v>
      </c>
      <c r="F1172" s="2" t="inlineStr">
        <is>
          <t>5998312729960</t>
        </is>
      </c>
      <c r="G1172" s="4" t="inlineStr">
        <is>
          <t xml:space="preserve"> • materiál: plast 
 • farba: čierna 
 • rozmery: 37 x 37 x 55 mm</t>
        </is>
      </c>
    </row>
    <row r="1173">
      <c r="A1173" s="3" t="inlineStr">
        <is>
          <t>SG 30</t>
        </is>
      </c>
      <c r="B1173" s="2" t="inlineStr">
        <is>
          <t>Gumový krúžok, 300mm</t>
        </is>
      </c>
      <c r="C1173" s="1" t="n">
        <v>4.29</v>
      </c>
      <c r="D1173" s="7" t="n">
        <f>HYPERLINK("https://www.somogyi.sk/product/gumovy-kruzok-300mm-sg-30-2605","https://www.somogyi.sk/product/gumovy-kruzok-300mm-sg-30-2605")</f>
        <v>0.0</v>
      </c>
      <c r="E1173" s="7" t="n">
        <f>HYPERLINK("https://www.somogyi.sk/data/img/product_main_images/small/02605.jpg","https://www.somogyi.sk/data/img/product_main_images/small/02605.jpg")</f>
        <v>0.0</v>
      </c>
      <c r="F1173" s="2" t="inlineStr">
        <is>
          <t>5998312729205</t>
        </is>
      </c>
      <c r="G1173" s="4" t="inlineStr">
        <is>
          <t xml:space="preserve"> • materiál: pena 
 • farba: čierna 
 • rozmery: Ø300 mm 
 • kompatibilita: 300 mm reproduktory</t>
        </is>
      </c>
    </row>
    <row r="1174">
      <c r="A1174" s="3" t="inlineStr">
        <is>
          <t>SG 20</t>
        </is>
      </c>
      <c r="B1174" s="2" t="inlineStr">
        <is>
          <t>Gumový krúžok, 200mm</t>
        </is>
      </c>
      <c r="C1174" s="1" t="n">
        <v>3.09</v>
      </c>
      <c r="D1174" s="7" t="n">
        <f>HYPERLINK("https://www.somogyi.sk/product/gumovy-kruzok-200mm-sg-20-2603","https://www.somogyi.sk/product/gumovy-kruzok-200mm-sg-20-2603")</f>
        <v>0.0</v>
      </c>
      <c r="E1174" s="7" t="n">
        <f>HYPERLINK("https://www.somogyi.sk/data/img/product_main_images/small/02603.jpg","https://www.somogyi.sk/data/img/product_main_images/small/02603.jpg")</f>
        <v>0.0</v>
      </c>
      <c r="F1174" s="2" t="inlineStr">
        <is>
          <t>5998312729182</t>
        </is>
      </c>
      <c r="G1174" s="4" t="inlineStr">
        <is>
          <t xml:space="preserve"> • materiál: pena 
 • farba: čierna 
 • rozmery: Ø200 mm 
 • kompatibilita: 200 mm reproduktory</t>
        </is>
      </c>
    </row>
    <row r="1175">
      <c r="A1175" s="3" t="inlineStr">
        <is>
          <t>SG 16</t>
        </is>
      </c>
      <c r="B1175" s="2" t="inlineStr">
        <is>
          <t>Gumový krúžok, 165mm</t>
        </is>
      </c>
      <c r="C1175" s="1" t="n">
        <v>2.39</v>
      </c>
      <c r="D1175" s="7" t="n">
        <f>HYPERLINK("https://www.somogyi.sk/product/gumovy-kruzok-165mm-sg-16-2996","https://www.somogyi.sk/product/gumovy-kruzok-165mm-sg-16-2996")</f>
        <v>0.0</v>
      </c>
      <c r="E1175" s="7" t="n">
        <f>HYPERLINK("https://www.somogyi.sk/data/img/product_main_images/small/02996.jpg","https://www.somogyi.sk/data/img/product_main_images/small/02996.jpg")</f>
        <v>0.0</v>
      </c>
      <c r="F1175" s="2" t="inlineStr">
        <is>
          <t>5998312733202</t>
        </is>
      </c>
      <c r="G1175" s="4" t="inlineStr">
        <is>
          <t xml:space="preserve"> • materiál: pena 
 • farba: čierna 
 • rozmery: Ø165 mm 
 • kompatibilita: 165 mm reproduktory</t>
        </is>
      </c>
    </row>
    <row r="1176">
      <c r="A1176" s="3" t="inlineStr">
        <is>
          <t>HT 203</t>
        </is>
      </c>
      <c r="B1176" s="2" t="inlineStr">
        <is>
          <t>Zapustená rukoväť k reprobedne, kovová, 220 x 163 x 60 mm</t>
        </is>
      </c>
      <c r="C1176" s="1" t="n">
        <v>10.69</v>
      </c>
      <c r="D1176" s="7" t="n">
        <f>HYPERLINK("https://www.somogyi.sk/product/zapustena-rukovat-k-reprobedne-kovova-220-x-163-x-60-mm-ht-203-6921","https://www.somogyi.sk/product/zapustena-rukovat-k-reprobedne-kovova-220-x-163-x-60-mm-ht-203-6921")</f>
        <v>0.0</v>
      </c>
      <c r="E1176" s="7" t="n">
        <f>HYPERLINK("https://www.somogyi.sk/data/img/product_main_images/small/06921.jpg","https://www.somogyi.sk/data/img/product_main_images/small/06921.jpg")</f>
        <v>0.0</v>
      </c>
      <c r="F1176" s="2" t="inlineStr">
        <is>
          <t>5998312759349</t>
        </is>
      </c>
      <c r="G1176" s="4" t="inlineStr">
        <is>
          <t xml:space="preserve"> • materiál: kov 
 • farba: čierna 
 • rozmery: 220 x 163 x 60 mm</t>
        </is>
      </c>
    </row>
    <row r="1177">
      <c r="A1177" s="3" t="inlineStr">
        <is>
          <t>HT 70/BK</t>
        </is>
      </c>
      <c r="B1177" s="2" t="inlineStr">
        <is>
          <t>Poťah na reprobedne, 70x140cm</t>
        </is>
      </c>
      <c r="C1177" s="1" t="n">
        <v>7.69</v>
      </c>
      <c r="D1177" s="7" t="n">
        <f>HYPERLINK("https://www.somogyi.sk/product/potah-na-reprobedne-70x140cm-ht-70-bk-4283","https://www.somogyi.sk/product/potah-na-reprobedne-70x140cm-ht-70-bk-4283")</f>
        <v>0.0</v>
      </c>
      <c r="E1177" s="7" t="n">
        <f>HYPERLINK("https://www.somogyi.sk/data/img/product_main_images/small/04283.jpg","https://www.somogyi.sk/data/img/product_main_images/small/04283.jpg")</f>
        <v>0.0</v>
      </c>
      <c r="F1177" s="2" t="inlineStr">
        <is>
          <t>5998312709085</t>
        </is>
      </c>
      <c r="G1177" s="4" t="inlineStr">
        <is>
          <t xml:space="preserve"> • materiál: tkanina 
 • farba: čierna 
 • rozmery: 70 x 140 cm</t>
        </is>
      </c>
    </row>
    <row r="1178">
      <c r="A1178" s="3" t="inlineStr">
        <is>
          <t>HT 304</t>
        </is>
      </c>
      <c r="B1178" s="2" t="inlineStr">
        <is>
          <t>Držiak na repro mriežku, 8ks/balenie</t>
        </is>
      </c>
      <c r="C1178" s="1" t="n">
        <v>0.29</v>
      </c>
      <c r="D1178" s="7" t="n">
        <f>HYPERLINK("https://www.somogyi.sk/product/drziak-na-repro-mriezku-8ks-balenie-ht-304-2666","https://www.somogyi.sk/product/drziak-na-repro-mriezku-8ks-balenie-ht-304-2666")</f>
        <v>0.0</v>
      </c>
      <c r="E1178" s="7" t="n">
        <f>HYPERLINK("https://www.somogyi.sk/data/img/product_main_images/small/02666.jpg","https://www.somogyi.sk/data/img/product_main_images/small/02666.jpg")</f>
        <v>0.0</v>
      </c>
      <c r="F1178" s="2" t="inlineStr">
        <is>
          <t>5998312729908</t>
        </is>
      </c>
      <c r="G1178" s="4" t="inlineStr">
        <is>
          <t xml:space="preserve"> • materiál: plast 
 • farba: čierna</t>
        </is>
      </c>
    </row>
    <row r="1179">
      <c r="A1179" s="3" t="inlineStr">
        <is>
          <t>KAH 303</t>
        </is>
      </c>
      <c r="B1179" s="2" t="inlineStr">
        <is>
          <t>Basreflexová trubka, nastaviteľná, 66x125x250mm, 2ks/balenie</t>
        </is>
      </c>
      <c r="C1179" s="1" t="n">
        <v>3.79</v>
      </c>
      <c r="D1179" s="7" t="n">
        <f>HYPERLINK("https://www.somogyi.sk/product/basreflexova-trubka-nastavitelna-66x125x250mm-2ks-balenie-kah-303-2841","https://www.somogyi.sk/product/basreflexova-trubka-nastavitelna-66x125x250mm-2ks-balenie-kah-303-2841")</f>
        <v>0.0</v>
      </c>
      <c r="E1179" s="7" t="n">
        <f>HYPERLINK("https://www.somogyi.sk/data/img/product_main_images/small/02841.jpg","https://www.somogyi.sk/data/img/product_main_images/small/02841.jpg")</f>
        <v>0.0</v>
      </c>
      <c r="F1179" s="2" t="inlineStr">
        <is>
          <t>5998312731659</t>
        </is>
      </c>
      <c r="G1179" s="4" t="inlineStr">
        <is>
          <t xml:space="preserve"> • materiál: plast 
 • farba: čierna 
 • rozmery: Ø66 x 125 - 250 mm 
 • blister: áno</t>
        </is>
      </c>
    </row>
    <row r="1180">
      <c r="A1180" s="3" t="inlineStr">
        <is>
          <t>HT 200</t>
        </is>
      </c>
      <c r="B1180" s="2" t="inlineStr">
        <is>
          <t>Držiak reprobední, kov+guma, 250 mm</t>
        </is>
      </c>
      <c r="C1180" s="1" t="n">
        <v>2.39</v>
      </c>
      <c r="D1180" s="7" t="n">
        <f>HYPERLINK("https://www.somogyi.sk/product/drziak-reprobedni-kov-guma-250-mm-ht-200-2667","https://www.somogyi.sk/product/drziak-reprobedni-kov-guma-250-mm-ht-200-2667")</f>
        <v>0.0</v>
      </c>
      <c r="E1180" s="7" t="n">
        <f>HYPERLINK("https://www.somogyi.sk/data/img/product_main_images/small/02667.jpg","https://www.somogyi.sk/data/img/product_main_images/small/02667.jpg")</f>
        <v>0.0</v>
      </c>
      <c r="F1180" s="2" t="inlineStr">
        <is>
          <t>5998312729915</t>
        </is>
      </c>
      <c r="G1180" s="4" t="inlineStr">
        <is>
          <t xml:space="preserve"> • materiál: kov + guma 
 • farba: čierna 
 • rozmery: 250 mm</t>
        </is>
      </c>
    </row>
    <row r="1181">
      <c r="A1181" s="3" t="inlineStr">
        <is>
          <t>HT 305</t>
        </is>
      </c>
      <c r="B1181" s="2" t="inlineStr">
        <is>
          <t>Držiak na repro mriežku, 8ks/balenie</t>
        </is>
      </c>
      <c r="C1181" s="1" t="n">
        <v>0.39</v>
      </c>
      <c r="D1181" s="7" t="n">
        <f>HYPERLINK("https://www.somogyi.sk/product/drziak-na-repro-mriezku-8ks-balenie-ht-305-3314","https://www.somogyi.sk/product/drziak-na-repro-mriezku-8ks-balenie-ht-305-3314")</f>
        <v>0.0</v>
      </c>
      <c r="E1181" s="7" t="n">
        <f>HYPERLINK("https://www.somogyi.sk/data/img/product_main_images/small/03314.jpg","https://www.somogyi.sk/data/img/product_main_images/small/03314.jpg")</f>
        <v>0.0</v>
      </c>
      <c r="F1181" s="2" t="inlineStr">
        <is>
          <t>5998312736388</t>
        </is>
      </c>
      <c r="G1181" s="4" t="inlineStr">
        <is>
          <t xml:space="preserve"> • materiál: plast 
 • farba: čierna</t>
        </is>
      </c>
    </row>
    <row r="1182">
      <c r="A1182" s="3" t="inlineStr">
        <is>
          <t>HT 400</t>
        </is>
      </c>
      <c r="B1182" s="2" t="inlineStr">
        <is>
          <t>Chránič reproduktorových rohov, plast, 40 x 40 x 40 mm</t>
        </is>
      </c>
      <c r="C1182" s="1" t="n">
        <v>0.79</v>
      </c>
      <c r="D1182" s="7" t="n">
        <f>HYPERLINK("https://www.somogyi.sk/product/chranic-reproduktorovych-rohov-plast-40-x-40-x-40-mm-ht-400-2671","https://www.somogyi.sk/product/chranic-reproduktorovych-rohov-plast-40-x-40-x-40-mm-ht-400-2671")</f>
        <v>0.0</v>
      </c>
      <c r="E1182" s="7" t="n">
        <f>HYPERLINK("https://www.somogyi.sk/data/img/product_main_images/small/02671.jpg","https://www.somogyi.sk/data/img/product_main_images/small/02671.jpg")</f>
        <v>0.0</v>
      </c>
      <c r="F1182" s="2" t="inlineStr">
        <is>
          <t>5998312729953</t>
        </is>
      </c>
      <c r="G1182" s="4" t="inlineStr">
        <is>
          <t xml:space="preserve"> • materiál: plast 
 • farba: čierna 
 • rozmery: 40 x 40 x 40 mm</t>
        </is>
      </c>
    </row>
    <row r="1183">
      <c r="A1183" s="3" t="inlineStr">
        <is>
          <t>HT 3123</t>
        </is>
      </c>
      <c r="B1183" s="2" t="inlineStr">
        <is>
          <t>Gumené nohy k reprobedniam, 37x16mm, 4ks/balenie</t>
        </is>
      </c>
      <c r="C1183" s="1" t="n">
        <v>1.09</v>
      </c>
      <c r="D1183" s="7" t="n">
        <f>HYPERLINK("https://www.somogyi.sk/product/gumene-nohy-k-reprobedniam-37x16mm-4ks-balenie-ht-3123-3313","https://www.somogyi.sk/product/gumene-nohy-k-reprobedniam-37x16mm-4ks-balenie-ht-3123-3313")</f>
        <v>0.0</v>
      </c>
      <c r="E1183" s="7" t="n">
        <f>HYPERLINK("https://www.somogyi.sk/data/img/product_main_images/small/03313.jpg","https://www.somogyi.sk/data/img/product_main_images/small/03313.jpg")</f>
        <v>0.0</v>
      </c>
      <c r="F1183" s="2" t="inlineStr">
        <is>
          <t>5998312736371</t>
        </is>
      </c>
      <c r="G1183" s="4" t="inlineStr">
        <is>
          <t xml:space="preserve"> • materiál: tvrdá guma 
 • farba: čierna 
 • rozmery: Ø37 x 16 mm, otvor: Ø5 mm</t>
        </is>
      </c>
    </row>
    <row r="1184">
      <c r="A1184" s="3" t="inlineStr">
        <is>
          <t>HT 2340</t>
        </is>
      </c>
      <c r="B1184" s="2" t="inlineStr">
        <is>
          <t>Tlmiaci molitan, 60x30x3cm</t>
        </is>
      </c>
      <c r="C1184" s="1" t="n">
        <v>4.59</v>
      </c>
      <c r="D1184" s="7" t="n">
        <f>HYPERLINK("https://www.somogyi.sk/product/tlmiaci-molitan-60x30x3cm-ht-2340-4146","https://www.somogyi.sk/product/tlmiaci-molitan-60x30x3cm-ht-2340-4146")</f>
        <v>0.0</v>
      </c>
      <c r="E1184" s="7" t="n">
        <f>HYPERLINK("https://www.somogyi.sk/data/img/product_main_images/small/04146.jpg","https://www.somogyi.sk/data/img/product_main_images/small/04146.jpg")</f>
        <v>0.0</v>
      </c>
      <c r="F1184" s="2" t="inlineStr">
        <is>
          <t>5998312736630</t>
        </is>
      </c>
      <c r="G1184" s="4" t="inlineStr">
        <is>
          <t xml:space="preserve"> • materiál: pena 
 • farba: tmavosivá 
 • rozmery: 3 x 30 x 60 cm</t>
        </is>
      </c>
    </row>
    <row r="1185">
      <c r="A1185" s="3" t="inlineStr">
        <is>
          <t>SG 25</t>
        </is>
      </c>
      <c r="B1185" s="2" t="inlineStr">
        <is>
          <t>Gumový krúžok, 250mm</t>
        </is>
      </c>
      <c r="C1185" s="1" t="n">
        <v>3.69</v>
      </c>
      <c r="D1185" s="7" t="n">
        <f>HYPERLINK("https://www.somogyi.sk/product/gumovy-kruzok-250mm-sg-25-2604","https://www.somogyi.sk/product/gumovy-kruzok-250mm-sg-25-2604")</f>
        <v>0.0</v>
      </c>
      <c r="E1185" s="7" t="n">
        <f>HYPERLINK("https://www.somogyi.sk/data/img/product_main_images/small/02604.jpg","https://www.somogyi.sk/data/img/product_main_images/small/02604.jpg")</f>
        <v>0.0</v>
      </c>
      <c r="F1185" s="2" t="inlineStr">
        <is>
          <t>5998312729199</t>
        </is>
      </c>
      <c r="G1185" s="4" t="inlineStr">
        <is>
          <t xml:space="preserve"> • materiál: pena 
 • farba: čierna 
 • rozmery: Ø250 mm 
 • kompatibilita: 250 mm reproduktory</t>
        </is>
      </c>
    </row>
    <row r="1186">
      <c r="A1186" s="3" t="inlineStr">
        <is>
          <t>HT 402</t>
        </is>
      </c>
      <c r="B1186" s="2" t="inlineStr">
        <is>
          <t>Chránič reproduktorových rohov, plast, 54 x 54 x 81 mm</t>
        </is>
      </c>
      <c r="C1186" s="1" t="n">
        <v>0.79</v>
      </c>
      <c r="D1186" s="7" t="n">
        <f>HYPERLINK("https://www.somogyi.sk/product/chranic-reproduktorovych-rohov-plast-54-x-54-x-81-mm-ht-402-2673","https://www.somogyi.sk/product/chranic-reproduktorovych-rohov-plast-54-x-54-x-81-mm-ht-402-2673")</f>
        <v>0.0</v>
      </c>
      <c r="E1186" s="7" t="n">
        <f>HYPERLINK("https://www.somogyi.sk/data/img/product_main_images/small/02673.jpg","https://www.somogyi.sk/data/img/product_main_images/small/02673.jpg")</f>
        <v>0.0</v>
      </c>
      <c r="F1186" s="2" t="inlineStr">
        <is>
          <t>5998312729977</t>
        </is>
      </c>
      <c r="G1186" s="4" t="inlineStr">
        <is>
          <t xml:space="preserve"> • materiál: plast 
 • farba: čierna 
 • rozmery: 54 x 54 x 81 mm</t>
        </is>
      </c>
    </row>
    <row r="1187">
      <c r="A1187" s="3" t="inlineStr">
        <is>
          <t>KAH 202</t>
        </is>
      </c>
      <c r="B1187" s="2" t="inlineStr">
        <is>
          <t>Basreflexová trubka, upraviteľná, 45x100mm, 4ks/balenie</t>
        </is>
      </c>
      <c r="C1187" s="1" t="n">
        <v>1.29</v>
      </c>
      <c r="D1187" s="7" t="n">
        <f>HYPERLINK("https://www.somogyi.sk/product/basreflexova-trubka-upravitelna-45x100mm-4ks-balenie-kah-202-2842","https://www.somogyi.sk/product/basreflexova-trubka-upravitelna-45x100mm-4ks-balenie-kah-202-2842")</f>
        <v>0.0</v>
      </c>
      <c r="E1187" s="7" t="n">
        <f>HYPERLINK("https://www.somogyi.sk/data/img/product_main_images/small/02842.jpg","https://www.somogyi.sk/data/img/product_main_images/small/02842.jpg")</f>
        <v>0.0</v>
      </c>
      <c r="F1187" s="2" t="inlineStr">
        <is>
          <t>5998312731666</t>
        </is>
      </c>
      <c r="G1187" s="4" t="inlineStr">
        <is>
          <t xml:space="preserve"> • materiál: plast 
 • farba: čierna 
 • rozmery: Ø45 x 100 mm</t>
        </is>
      </c>
    </row>
    <row r="1188">
      <c r="A1188" s="3" t="inlineStr">
        <is>
          <t>SG 13</t>
        </is>
      </c>
      <c r="B1188" s="2" t="inlineStr">
        <is>
          <t>Gumový krúžok, 130mm</t>
        </is>
      </c>
      <c r="C1188" s="1" t="n">
        <v>2.29</v>
      </c>
      <c r="D1188" s="7" t="n">
        <f>HYPERLINK("https://www.somogyi.sk/product/gumovy-kruzok-130mm-sg-13-2997","https://www.somogyi.sk/product/gumovy-kruzok-130mm-sg-13-2997")</f>
        <v>0.0</v>
      </c>
      <c r="E1188" s="7" t="n">
        <f>HYPERLINK("https://www.somogyi.sk/data/img/product_main_images/small/02997.jpg","https://www.somogyi.sk/data/img/product_main_images/small/02997.jpg")</f>
        <v>0.0</v>
      </c>
      <c r="F1188" s="2" t="inlineStr">
        <is>
          <t>5998312733219</t>
        </is>
      </c>
      <c r="G1188" s="4" t="inlineStr">
        <is>
          <t xml:space="preserve"> • materiál: pena 
 • farba: čierna 
 • rozmery: Ø130 mm 
 • kompatibilita: 130 mm reproduktory</t>
        </is>
      </c>
    </row>
    <row r="1189">
      <c r="A1189" s="3" t="inlineStr">
        <is>
          <t>HT5050B</t>
        </is>
      </c>
      <c r="B1189" s="2" t="inlineStr">
        <is>
          <t>Panel tlmiaci zvuk, 50x50x5cm, 4 ks</t>
        </is>
      </c>
      <c r="C1189" s="1" t="n">
        <v>6.89</v>
      </c>
      <c r="D1189" s="7" t="n">
        <f>HYPERLINK("https://www.somogyi.sk/product/panel-tlmiaci-zvuk-50x50x5cm-4-ks-ht5050b-18483","https://www.somogyi.sk/product/panel-tlmiaci-zvuk-50x50x5cm-4-ks-ht5050b-18483")</f>
        <v>0.0</v>
      </c>
      <c r="E1189" s="7" t="n">
        <f>HYPERLINK("https://www.somogyi.sk/data/img/product_main_images/small/18483.jpg","https://www.somogyi.sk/data/img/product_main_images/small/18483.jpg")</f>
        <v>0.0</v>
      </c>
      <c r="F1189" s="2" t="inlineStr">
        <is>
          <t>5999084965013</t>
        </is>
      </c>
      <c r="G1189" s="4" t="inlineStr">
        <is>
          <t xml:space="preserve"> • rozmery: 1 m² (4x 50x50x5 cm)</t>
        </is>
      </c>
    </row>
    <row r="1190">
      <c r="A1190" s="6" t="inlineStr">
        <is>
          <t xml:space="preserve">   Zvuková technika / Klavír</t>
        </is>
      </c>
      <c r="B1190" s="6" t="inlineStr">
        <is>
          <t/>
        </is>
      </c>
      <c r="C1190" s="6" t="inlineStr">
        <is>
          <t/>
        </is>
      </c>
      <c r="D1190" s="6" t="inlineStr">
        <is>
          <t/>
        </is>
      </c>
      <c r="E1190" s="6" t="inlineStr">
        <is>
          <t/>
        </is>
      </c>
      <c r="F1190" s="6" t="inlineStr">
        <is>
          <t/>
        </is>
      </c>
      <c r="G1190" s="6" t="inlineStr">
        <is>
          <t/>
        </is>
      </c>
    </row>
    <row r="1191">
      <c r="A1191" s="3" t="inlineStr">
        <is>
          <t>HFP1</t>
        </is>
      </c>
      <c r="B1191" s="2" t="inlineStr">
        <is>
          <t>Skladací klavír</t>
        </is>
      </c>
      <c r="C1191" s="1" t="n">
        <v>132.49</v>
      </c>
      <c r="D1191" s="7" t="n">
        <f>HYPERLINK("https://www.somogyi.sk/product/skladaci-klavir-hfp1-18479","https://www.somogyi.sk/product/skladaci-klavir-hfp1-18479")</f>
        <v>0.0</v>
      </c>
      <c r="E1191" s="7" t="n">
        <f>HYPERLINK("https://www.somogyi.sk/data/img/product_main_images/small/18479.jpg","https://www.somogyi.sk/data/img/product_main_images/small/18479.jpg")</f>
        <v>0.0</v>
      </c>
      <c r="F1191" s="2" t="inlineStr">
        <is>
          <t>5999084964979</t>
        </is>
      </c>
      <c r="G1191" s="4" t="inlineStr">
        <is>
          <t xml:space="preserve"> • displej: LCD 
 • reproduktor: zabudovaný stereo reproduktor 
 •  
 • charakteristiky: 88 klávesov (vrátane čiernych klávesov) • pripojiteľný reproduktor, slúchadlá (3,5 jack konektor) • prehrávanie externého zdroja zvuku 
 • funkcie: 128 voliteľných zvukov a rytmov, 20 demo skladieb • kompatibilný so softvérom MIDI • nahrávanie a prehrávanie klavíra • funkcia metronómu 
 • materiál: plast 
 • rozmery: 124 x 22 x 6,5 cm / 62 x 22 x 13 cm (v otvorenom/zatvorenom stave) 
 • hmotnosť: 4 kg</t>
        </is>
      </c>
    </row>
    <row r="1192">
      <c r="A1192" s="3" t="inlineStr">
        <is>
          <t>HRD1</t>
        </is>
      </c>
      <c r="B1192" s="2" t="inlineStr">
        <is>
          <t>Rolovateľná bicia súprava</t>
        </is>
      </c>
      <c r="C1192" s="1" t="n">
        <v>57.49</v>
      </c>
      <c r="D1192" s="7" t="n">
        <f>HYPERLINK("https://www.somogyi.sk/product/rolovatelna-bicia-suprava-hrd1-18480","https://www.somogyi.sk/product/rolovatelna-bicia-suprava-hrd1-18480")</f>
        <v>0.0</v>
      </c>
      <c r="E1192" s="7" t="n">
        <f>HYPERLINK("https://www.somogyi.sk/data/img/product_main_images/small/18480.jpg","https://www.somogyi.sk/data/img/product_main_images/small/18480.jpg")</f>
        <v>0.0</v>
      </c>
      <c r="F1192" s="2" t="inlineStr">
        <is>
          <t>5999084964986</t>
        </is>
      </c>
      <c r="G1192" s="4" t="inlineStr">
        <is>
          <t xml:space="preserve"> • reproduktor: zabudovaný dvojitý reproduktor 
 • hlasitosť: nastaviteľná hlasitosť a tempo 
 • N/A: áno (≤2.5 mW / 10 m max.) 
 • funkcie: 7 voliteľných rytmov, 10 demo skladieb • funkcia MIDI 
 • ďalšie informácie: LED kontrolky 
 • materiál: silikón 
 • rozmery: 48 x 32 x 5 cm 
 • hmotnosť: 1,1 kg</t>
        </is>
      </c>
    </row>
    <row r="1193">
      <c r="A1193" s="6" t="inlineStr">
        <is>
          <t xml:space="preserve">   Audio-video doplnky / Audio prevodník</t>
        </is>
      </c>
      <c r="B1193" s="6" t="inlineStr">
        <is>
          <t/>
        </is>
      </c>
      <c r="C1193" s="6" t="inlineStr">
        <is>
          <t/>
        </is>
      </c>
      <c r="D1193" s="6" t="inlineStr">
        <is>
          <t/>
        </is>
      </c>
      <c r="E1193" s="6" t="inlineStr">
        <is>
          <t/>
        </is>
      </c>
      <c r="F1193" s="6" t="inlineStr">
        <is>
          <t/>
        </is>
      </c>
      <c r="G1193" s="6" t="inlineStr">
        <is>
          <t/>
        </is>
      </c>
    </row>
    <row r="1194">
      <c r="A1194" s="3" t="inlineStr">
        <is>
          <t>ATD VIDEO</t>
        </is>
      </c>
      <c r="B1194" s="2" t="inlineStr">
        <is>
          <t>Analógový-digitálny video konverter</t>
        </is>
      </c>
      <c r="C1194" s="1" t="n">
        <v>31.99</v>
      </c>
      <c r="D1194" s="7" t="n">
        <f>HYPERLINK("https://www.somogyi.sk/product/analogovy-digitalny-video-konverter-atd-video-16620","https://www.somogyi.sk/product/analogovy-digitalny-video-konverter-atd-video-16620")</f>
        <v>0.0</v>
      </c>
      <c r="E1194" s="7" t="n">
        <f>HYPERLINK("https://www.somogyi.sk/data/img/product_main_images/small/16620.jpg","https://www.somogyi.sk/data/img/product_main_images/small/16620.jpg")</f>
        <v>0.0</v>
      </c>
      <c r="F1194" s="2" t="inlineStr">
        <is>
          <t>5999084946524</t>
        </is>
      </c>
      <c r="G1194" s="4" t="inlineStr">
        <is>
          <t xml:space="preserve"> • vstup: 3 x RCA zásuvka (kompozit video a stereo zvuk) 
 • výstup: 1 x HDMI zásuvka 
 • príslušenstvo: miniUSB – USB A napájací kábel 
 • napájanie: 5 V [DC] / 180 mA (nie je príslušenstvom) 
 • rozmery: 60 x 55 x 20 mm</t>
        </is>
      </c>
    </row>
    <row r="1195">
      <c r="A1195" s="3" t="inlineStr">
        <is>
          <t>DTA AUDIO</t>
        </is>
      </c>
      <c r="B1195" s="2" t="inlineStr">
        <is>
          <t>Digitálny-analógový audio prevodník</t>
        </is>
      </c>
      <c r="C1195" s="1" t="n">
        <v>27.89</v>
      </c>
      <c r="D1195" s="7" t="n">
        <f>HYPERLINK("https://www.somogyi.sk/product/digitalny-analogovy-audio-prevodnik-dta-audio-16890","https://www.somogyi.sk/product/digitalny-analogovy-audio-prevodnik-dta-audio-16890")</f>
        <v>0.0</v>
      </c>
      <c r="E1195" s="7" t="n">
        <f>HYPERLINK("https://www.somogyi.sk/data/img/product_main_images/small/16890.jpg","https://www.somogyi.sk/data/img/product_main_images/small/16890.jpg")</f>
        <v>0.0</v>
      </c>
      <c r="F1195" s="2" t="inlineStr">
        <is>
          <t>5999084949228</t>
        </is>
      </c>
      <c r="G1195" s="4" t="inlineStr">
        <is>
          <t xml:space="preserve"> • vstup: optický TOSLINK   digitálny koaxiálny RCA 
 • výstup: 2 x RCA (stereo) 
 • príslušenstvo: 1.5 m optický kábel, sieťový adaptér (5 V /1 A) 
 • napájanie: sieťový adaptér (5V / 1A), je prísl. 
 • rozmery: 51 x 26 x 41 mm</t>
        </is>
      </c>
    </row>
    <row r="1196">
      <c r="A1196" s="6" t="inlineStr">
        <is>
          <t xml:space="preserve">   Audio-video doplnky / HDMI kábel, HDMI prepínač a a/v kábel</t>
        </is>
      </c>
      <c r="B1196" s="6" t="inlineStr">
        <is>
          <t/>
        </is>
      </c>
      <c r="C1196" s="6" t="inlineStr">
        <is>
          <t/>
        </is>
      </c>
      <c r="D1196" s="6" t="inlineStr">
        <is>
          <t/>
        </is>
      </c>
      <c r="E1196" s="6" t="inlineStr">
        <is>
          <t/>
        </is>
      </c>
      <c r="F1196" s="6" t="inlineStr">
        <is>
          <t/>
        </is>
      </c>
      <c r="G1196" s="6" t="inlineStr">
        <is>
          <t/>
        </is>
      </c>
    </row>
    <row r="1197">
      <c r="A1197" s="3" t="inlineStr">
        <is>
          <t>V 50S</t>
        </is>
      </c>
      <c r="B1197" s="2" t="inlineStr">
        <is>
          <t>Video redukcia, 21 pólová SCART vidlica-3xRCA zásuvka+SVHS zásuvka</t>
        </is>
      </c>
      <c r="C1197" s="1" t="n">
        <v>2.89</v>
      </c>
      <c r="D1197" s="7" t="n">
        <f>HYPERLINK("https://www.somogyi.sk/product/video-redukcia-21-polova-scart-vidlica-3xrca-zasuvka-svhs-zasuvka-v-50s-4217","https://www.somogyi.sk/product/video-redukcia-21-polova-scart-vidlica-3xrca-zasuvka-svhs-zasuvka-v-50s-4217")</f>
        <v>0.0</v>
      </c>
      <c r="E1197" s="7" t="n">
        <f>HYPERLINK("https://www.somogyi.sk/data/img/product_main_images/small/04217.jpg","https://www.somogyi.sk/data/img/product_main_images/small/04217.jpg")</f>
        <v>0.0</v>
      </c>
      <c r="F1197" s="2" t="inlineStr">
        <is>
          <t>5998312737484</t>
        </is>
      </c>
      <c r="G1197" s="4" t="inlineStr">
        <is>
          <t xml:space="preserve"> • prípojky: scart vidlica / 3 RCA zásuvka, SVHS zásuvka 
 • pozlátený: nie 
 • otáčateľný: nie 
 • ďalšie informácie: s prepínačom výstup/vstup</t>
        </is>
      </c>
    </row>
    <row r="1198">
      <c r="A1198" s="3" t="inlineStr">
        <is>
          <t>VC 3DX</t>
        </is>
      </c>
      <c r="B1198" s="2" t="inlineStr">
        <is>
          <t>Videokábel, 21 pólová SCART vidlica-21 pólová SCART vidlica, stereo, 1,5m, blister</t>
        </is>
      </c>
      <c r="C1198" s="1" t="n">
        <v>3.69</v>
      </c>
      <c r="D1198" s="7" t="n">
        <f>HYPERLINK("https://www.somogyi.sk/product/videokabel-21-polova-scart-vidlica-21-polova-scart-vidlica-stereo-1-5m-blister-vc-3dx-2167","https://www.somogyi.sk/product/videokabel-21-polova-scart-vidlica-21-polova-scart-vidlica-stereo-1-5m-blister-vc-3dx-2167")</f>
        <v>0.0</v>
      </c>
      <c r="E1198" s="7" t="n">
        <f>HYPERLINK("https://www.somogyi.sk/data/img/product_main_images/small/02167.jpg","https://www.somogyi.sk/data/img/product_main_images/small/02167.jpg")</f>
        <v>0.0</v>
      </c>
      <c r="F1198" s="2" t="inlineStr">
        <is>
          <t>5998312724316</t>
        </is>
      </c>
      <c r="G1198" s="4" t="inlineStr">
        <is>
          <t xml:space="preserve"> • prípojky: scart vidlica / scart vidlica 
 • dĺžka kábla: 1,5 m 
 • pozlátený: nie 
 • otáčateľný: nie 
 • ďalšie informácie: 21 pólov zapojených 
 • blister: áno</t>
        </is>
      </c>
    </row>
    <row r="1199">
      <c r="A1199" s="3" t="inlineStr">
        <is>
          <t>A 4X</t>
        </is>
      </c>
      <c r="B1199" s="2" t="inlineStr">
        <is>
          <t>Audio kábel, 3 RCA vidlica-3 RCA vidlica, 1,5 m, blister</t>
        </is>
      </c>
      <c r="C1199" s="1" t="n">
        <v>3.09</v>
      </c>
      <c r="D1199" s="7" t="n">
        <f>HYPERLINK("https://www.somogyi.sk/product/audio-kabel-3-rca-vidlica-3-rca-vidlica-1-5-m-blister-a-4x-5509","https://www.somogyi.sk/product/audio-kabel-3-rca-vidlica-3-rca-vidlica-1-5-m-blister-a-4x-5509")</f>
        <v>0.0</v>
      </c>
      <c r="E1199" s="7" t="n">
        <f>HYPERLINK("https://www.somogyi.sk/data/img/product_main_images/small/05509.jpg","https://www.somogyi.sk/data/img/product_main_images/small/05509.jpg")</f>
        <v>0.0</v>
      </c>
      <c r="F1199" s="2" t="inlineStr">
        <is>
          <t>5998312748725</t>
        </is>
      </c>
      <c r="G1199" s="4" t="inlineStr">
        <is>
          <t xml:space="preserve"> • prípojky: 3 RCA vidlica / 3 RCA vidlica 
 • dĺžka kábla: 1,5 m 
 • pozlátený: nie 
 • otáčateľný: nie 
 • blister: áno</t>
        </is>
      </c>
    </row>
    <row r="1200">
      <c r="A1200" s="3" t="inlineStr">
        <is>
          <t>HD 4K/1,8</t>
        </is>
      </c>
      <c r="B1200" s="2" t="inlineStr">
        <is>
          <t>HDMI, A vidlica - A vidlica,  1,8 m</t>
        </is>
      </c>
      <c r="C1200" s="1" t="n">
        <v>7.29</v>
      </c>
      <c r="D1200" s="7" t="n">
        <f>HYPERLINK("https://www.somogyi.sk/product/hdmi-a-vidlica-a-vidlica-1-8-m-hd-4k-1-8-16440","https://www.somogyi.sk/product/hdmi-a-vidlica-a-vidlica-1-8-m-hd-4k-1-8-16440")</f>
        <v>0.0</v>
      </c>
      <c r="E1200" s="7" t="n">
        <f>HYPERLINK("https://www.somogyi.sk/data/img/product_main_images/small/16440.jpg","https://www.somogyi.sk/data/img/product_main_images/small/16440.jpg")</f>
        <v>0.0</v>
      </c>
      <c r="F1200" s="2" t="inlineStr">
        <is>
          <t>5999084944728</t>
        </is>
      </c>
      <c r="G1200" s="4" t="inlineStr">
        <is>
          <t xml:space="preserve"> • prípojky: HDMI "A" vidlica - HDMI "A" vidlica 
 • dĺžka kábla: 1,8 m 
 • HDMI verzia: V2.0 
 • pozlátený: áno 
 • ďalšie informácie: prémiová séria</t>
        </is>
      </c>
    </row>
    <row r="1201">
      <c r="A1201" s="3" t="inlineStr">
        <is>
          <t>HDS 1</t>
        </is>
      </c>
      <c r="B1201" s="2" t="inlineStr">
        <is>
          <t>HDMI kábel, 1 m</t>
        </is>
      </c>
      <c r="C1201" s="1" t="n">
        <v>3.59</v>
      </c>
      <c r="D1201" s="7" t="n">
        <f>HYPERLINK("https://www.somogyi.sk/product/hdmi-kabel-1-m-hds-1-14199","https://www.somogyi.sk/product/hdmi-kabel-1-m-hds-1-14199")</f>
        <v>0.0</v>
      </c>
      <c r="E1201" s="7" t="n">
        <f>HYPERLINK("https://www.somogyi.sk/data/img/product_main_images/small/14199.jpg","https://www.somogyi.sk/data/img/product_main_images/small/14199.jpg")</f>
        <v>0.0</v>
      </c>
      <c r="F1201" s="2" t="inlineStr">
        <is>
          <t>5999084922474</t>
        </is>
      </c>
      <c r="G1201" s="4" t="inlineStr">
        <is>
          <t xml:space="preserve"> • prípojky: HDMI "A" vidlica - HDMI "A" vidlica 
 • dĺžka kábla: 1 m 
 • HDMI verzia: V1.4 
 • pozlátený: áno 
 • otáčateľný: nie</t>
        </is>
      </c>
    </row>
    <row r="1202">
      <c r="A1202" s="3" t="inlineStr">
        <is>
          <t>VC 20-2</t>
        </is>
      </c>
      <c r="B1202" s="2" t="inlineStr">
        <is>
          <t>Video kábel, 4 pólová 3,5 mm vidlica-3xRCA vidlica, stereo, 2m</t>
        </is>
      </c>
      <c r="C1202" s="1" t="n">
        <v>3.29</v>
      </c>
      <c r="D1202" s="7" t="n">
        <f>HYPERLINK("https://www.somogyi.sk/product/video-kabel-4-polova-3-5-mm-vidlica-3xrca-vidlica-stereo-2m-vc-20-2-5241","https://www.somogyi.sk/product/video-kabel-4-polova-3-5-mm-vidlica-3xrca-vidlica-stereo-2m-vc-20-2-5241")</f>
        <v>0.0</v>
      </c>
      <c r="E1202" s="7" t="n">
        <f>HYPERLINK("https://www.somogyi.sk/data/img/product_main_images/small/05241.jpg","https://www.somogyi.sk/data/img/product_main_images/small/05241.jpg")</f>
        <v>0.0</v>
      </c>
      <c r="F1202" s="2" t="inlineStr">
        <is>
          <t>5998312746288</t>
        </is>
      </c>
      <c r="G1202" s="4" t="inlineStr">
        <is>
          <t xml:space="preserve"> • prípojky: 4 pólová Ø3,5 mm jack vidlica / 3 RCA vidlica 
 • dĺžka kábla: 2 m 
 • pozlátený: nie 
 • otáčateľný: nie 
 • ďalšie informácie: zapojenie, od jack vidlice s  Ø3,5 mm v poradi: audio vľavo / video / GND / audio vpravo (ku kamerám Panasonic a Sony)</t>
        </is>
      </c>
    </row>
    <row r="1203">
      <c r="A1203" s="3" t="inlineStr">
        <is>
          <t>VC 3D</t>
        </is>
      </c>
      <c r="B1203" s="2" t="inlineStr">
        <is>
          <t>Video kábel, 21 pólová SCART vidlica-21 pólová SCART vidlica, stereo, 1,5m</t>
        </is>
      </c>
      <c r="C1203" s="1" t="n">
        <v>3.39</v>
      </c>
      <c r="D1203" s="7" t="n">
        <f>HYPERLINK("https://www.somogyi.sk/product/video-kabel-21-polova-scart-vidlica-21-polova-scart-vidlica-stereo-1-5m-vc-3d-1956","https://www.somogyi.sk/product/video-kabel-21-polova-scart-vidlica-21-polova-scart-vidlica-stereo-1-5m-vc-3d-1956")</f>
        <v>0.0</v>
      </c>
      <c r="E1203" s="7" t="n">
        <f>HYPERLINK("https://www.somogyi.sk/data/img/product_main_images/small/01956.jpg","https://www.somogyi.sk/data/img/product_main_images/small/01956.jpg")</f>
        <v>0.0</v>
      </c>
      <c r="F1203" s="2" t="inlineStr">
        <is>
          <t>2220057200057</t>
        </is>
      </c>
      <c r="G1203" s="4" t="inlineStr">
        <is>
          <t xml:space="preserve"> • prípojky: scart vidlica / scart vidlica 
 • dĺžka kábla: 1,5 m 
 • pozlátený: nie 
 • otáčateľný: nie 
 • ďalšie informácie: 21 pólov zapojených</t>
        </is>
      </c>
    </row>
    <row r="1204">
      <c r="A1204" s="3" t="inlineStr">
        <is>
          <t>A 4</t>
        </is>
      </c>
      <c r="B1204" s="2" t="inlineStr">
        <is>
          <t>Audio kábel, 2 RCA vidlica-2 RCA vidlica, 1,5 m</t>
        </is>
      </c>
      <c r="C1204" s="1" t="n">
        <v>2.79</v>
      </c>
      <c r="D1204" s="7" t="n">
        <f>HYPERLINK("https://www.somogyi.sk/product/audio-kabel-2-rca-vidlica-2-rca-vidlica-1-5-m-a-4-5237","https://www.somogyi.sk/product/audio-kabel-2-rca-vidlica-2-rca-vidlica-1-5-m-a-4-5237")</f>
        <v>0.0</v>
      </c>
      <c r="E1204" s="7" t="n">
        <f>HYPERLINK("https://www.somogyi.sk/data/img/product_main_images/small/05237.jpg","https://www.somogyi.sk/data/img/product_main_images/small/05237.jpg")</f>
        <v>0.0</v>
      </c>
      <c r="F1204" s="2" t="inlineStr">
        <is>
          <t>5998312746240</t>
        </is>
      </c>
      <c r="G1204" s="4" t="inlineStr">
        <is>
          <t xml:space="preserve"> • prípojky: 3 RCA vidlica / 3 RCA vidlica 
 • dĺžka kábla: 1,5 m 
 • pozlátený: nie 
 • otáčateľný: nie</t>
        </is>
      </c>
    </row>
    <row r="1205">
      <c r="A1205" s="3" t="inlineStr">
        <is>
          <t>HD 4K/3</t>
        </is>
      </c>
      <c r="B1205" s="2" t="inlineStr">
        <is>
          <t>HDMI, A vidlica - A vidlica,  3 m</t>
        </is>
      </c>
      <c r="C1205" s="1" t="n">
        <v>9.69</v>
      </c>
      <c r="D1205" s="7" t="n">
        <f>HYPERLINK("https://www.somogyi.sk/product/hdmi-a-vidlica-a-vidlica-3-m-hd-4k-3-16441","https://www.somogyi.sk/product/hdmi-a-vidlica-a-vidlica-3-m-hd-4k-3-16441")</f>
        <v>0.0</v>
      </c>
      <c r="E1205" s="7" t="n">
        <f>HYPERLINK("https://www.somogyi.sk/data/img/product_main_images/small/16441.jpg","https://www.somogyi.sk/data/img/product_main_images/small/16441.jpg")</f>
        <v>0.0</v>
      </c>
      <c r="F1205" s="2" t="inlineStr">
        <is>
          <t>5999084944735</t>
        </is>
      </c>
      <c r="G1205" s="4" t="inlineStr">
        <is>
          <t xml:space="preserve"> • prípojky: HDMI "A" vidlica - HDMI "A" vidlica 
 • dĺžka kábla: 3 m 
 • HDMI verzia: V2.0 
 • pozlátený: áno 
 • ďalšie informácie: prémiová séria</t>
        </is>
      </c>
    </row>
    <row r="1206">
      <c r="A1206" s="3" t="inlineStr">
        <is>
          <t>V 50SX</t>
        </is>
      </c>
      <c r="B1206" s="2" t="inlineStr">
        <is>
          <t>Video converter, 21 pólová SCART vidlica-3xRCA zásuvka+SVHS zásuvka, blister</t>
        </is>
      </c>
      <c r="C1206" s="1" t="n">
        <v>3.09</v>
      </c>
      <c r="D1206" s="7" t="n">
        <f>HYPERLINK("https://www.somogyi.sk/product/video-converter-21-polova-scart-vidlica-3xrca-zasuvka-svhs-zasuvka-blister-v-50sx-4338","https://www.somogyi.sk/product/video-converter-21-polova-scart-vidlica-3xrca-zasuvka-svhs-zasuvka-blister-v-50sx-4338")</f>
        <v>0.0</v>
      </c>
      <c r="E1206" s="7" t="n">
        <f>HYPERLINK("https://www.somogyi.sk/data/img/product_main_images/small/04338.jpg","https://www.somogyi.sk/data/img/product_main_images/small/04338.jpg")</f>
        <v>0.0</v>
      </c>
      <c r="F1206" s="2" t="inlineStr">
        <is>
          <t>5998312738016</t>
        </is>
      </c>
      <c r="G1206" s="4" t="inlineStr">
        <is>
          <t xml:space="preserve"> • prípojky: scart vidlica / 3 RCA zásuvka, SVHS zásuvka 
 • pozlátený: nie 
 • otáčateľný: nie 
 • ďalšie informácie: s prepínačom výstup/vstup 
 • blister: áno</t>
        </is>
      </c>
    </row>
    <row r="1207">
      <c r="A1207" s="3" t="inlineStr">
        <is>
          <t>HDS 4,5</t>
        </is>
      </c>
      <c r="B1207" s="2" t="inlineStr">
        <is>
          <t>HDMI kábel, 4,5 m</t>
        </is>
      </c>
      <c r="C1207" s="1" t="n">
        <v>4.79</v>
      </c>
      <c r="D1207" s="7" t="n">
        <f>HYPERLINK("https://www.somogyi.sk/product/hdmi-kabel-4-5-m-hds-4-5-14201","https://www.somogyi.sk/product/hdmi-kabel-4-5-m-hds-4-5-14201")</f>
        <v>0.0</v>
      </c>
      <c r="E1207" s="7" t="n">
        <f>HYPERLINK("https://www.somogyi.sk/data/img/product_main_images/small/14201.jpg","https://www.somogyi.sk/data/img/product_main_images/small/14201.jpg")</f>
        <v>0.0</v>
      </c>
      <c r="F1207" s="2" t="inlineStr">
        <is>
          <t>5999084922498</t>
        </is>
      </c>
      <c r="G1207" s="4" t="inlineStr">
        <is>
          <t xml:space="preserve"> • prípojky: HDMI "A" vidlica / HDMI "A" vidlica 
 • dĺžka kábla: 4,5 m 
 • HDMI verzia: V1.4 
 • pozlátený: áno 
 • otáčateľný: nie</t>
        </is>
      </c>
    </row>
    <row r="1208">
      <c r="A1208" s="3" t="inlineStr">
        <is>
          <t>STP 1,5</t>
        </is>
      </c>
      <c r="B1208" s="2" t="inlineStr">
        <is>
          <t>STP Patch kábel, CAT 8, 1,5 m</t>
        </is>
      </c>
      <c r="C1208" s="1" t="n">
        <v>2.29</v>
      </c>
      <c r="D1208" s="7" t="n">
        <f>HYPERLINK("https://www.somogyi.sk/product/stp-patch-kabel-cat-8-1-5-m-stp-1-5-16853","https://www.somogyi.sk/product/stp-patch-kabel-cat-8-1-5-m-stp-1-5-16853")</f>
        <v>0.0</v>
      </c>
      <c r="E1208" s="7" t="n">
        <f>HYPERLINK("https://www.somogyi.sk/data/img/product_main_images/small/16853.jpg","https://www.somogyi.sk/data/img/product_main_images/small/16853.jpg")</f>
        <v>0.0</v>
      </c>
      <c r="F1208" s="2" t="inlineStr">
        <is>
          <t>5999084948856</t>
        </is>
      </c>
      <c r="G1208" s="4" t="inlineStr">
        <is>
          <t xml:space="preserve"> • prípojky: tienené RJ45 prípojky 
 • dĺžka kábla: 1,5 m 
 • ďalšie informácie: CAT 8 / prenosová rýchlosť až 40 gigabitov / spätne kompatibilná s komponentmi CAT 6A a CAT 5E</t>
        </is>
      </c>
    </row>
    <row r="1209">
      <c r="A1209" s="3" t="inlineStr">
        <is>
          <t>HDS 2</t>
        </is>
      </c>
      <c r="B1209" s="2" t="inlineStr">
        <is>
          <t>HDMI kábel, 2 m</t>
        </is>
      </c>
      <c r="C1209" s="1" t="n">
        <v>3.89</v>
      </c>
      <c r="D1209" s="7" t="n">
        <f>HYPERLINK("https://www.somogyi.sk/product/hdmi-kabel-2-m-hds-2-14200","https://www.somogyi.sk/product/hdmi-kabel-2-m-hds-2-14200")</f>
        <v>0.0</v>
      </c>
      <c r="E1209" s="7" t="n">
        <f>HYPERLINK("https://www.somogyi.sk/data/img/product_main_images/small/14200.jpg","https://www.somogyi.sk/data/img/product_main_images/small/14200.jpg")</f>
        <v>0.0</v>
      </c>
      <c r="F1209" s="2" t="inlineStr">
        <is>
          <t>5999084922481</t>
        </is>
      </c>
      <c r="G1209" s="4" t="inlineStr">
        <is>
          <t xml:space="preserve"> • prípojky: HDMI "A" vidlica - HDMI "A" vidlica 
 • dĺžka kábla: 2 m 
 • HDMI verzia: V1.4 
 • pozlátený: áno 
 • otáčateľný: nie</t>
        </is>
      </c>
    </row>
    <row r="1210">
      <c r="A1210" s="6" t="inlineStr">
        <is>
          <t xml:space="preserve">   Audio-video doplnky / Audio / koaxiálny pripojovací kábel</t>
        </is>
      </c>
      <c r="B1210" s="6" t="inlineStr">
        <is>
          <t/>
        </is>
      </c>
      <c r="C1210" s="6" t="inlineStr">
        <is>
          <t/>
        </is>
      </c>
      <c r="D1210" s="6" t="inlineStr">
        <is>
          <t/>
        </is>
      </c>
      <c r="E1210" s="6" t="inlineStr">
        <is>
          <t/>
        </is>
      </c>
      <c r="F1210" s="6" t="inlineStr">
        <is>
          <t/>
        </is>
      </c>
      <c r="G1210" s="6" t="inlineStr">
        <is>
          <t/>
        </is>
      </c>
    </row>
    <row r="1211">
      <c r="A1211" s="3" t="inlineStr">
        <is>
          <t>RF 3</t>
        </is>
      </c>
      <c r="B1211" s="2" t="inlineStr">
        <is>
          <t>Koaxiálny kábel, vidlica-zásuvka, 3m</t>
        </is>
      </c>
      <c r="C1211" s="1" t="n">
        <v>1.49</v>
      </c>
      <c r="D1211" s="7" t="n">
        <f>HYPERLINK("https://www.somogyi.sk/product/koaxialny-kabel-vidlica-zasuvka-3m-rf-3-1818","https://www.somogyi.sk/product/koaxialny-kabel-vidlica-zasuvka-3m-rf-3-1818")</f>
        <v>0.0</v>
      </c>
      <c r="E1211" s="7" t="n">
        <f>HYPERLINK("https://www.somogyi.sk/data/img/product_main_images/small/01818.jpg","https://www.somogyi.sk/data/img/product_main_images/small/01818.jpg")</f>
        <v>0.0</v>
      </c>
      <c r="F1211" s="2" t="inlineStr">
        <is>
          <t>5998312703397</t>
        </is>
      </c>
      <c r="G1211" s="4" t="inlineStr">
        <is>
          <t xml:space="preserve"> • prípojky: koaxiálna vidlica / koaxiálna vidlica 
 • dĺžka kábla: 2,5 m 
 • pozlátený: nie 
 • kovový kryt prípojky: nie 
 • farba: biela</t>
        </is>
      </c>
    </row>
    <row r="1212">
      <c r="A1212" s="3" t="inlineStr">
        <is>
          <t>A 49</t>
        </is>
      </c>
      <c r="B1212" s="2" t="inlineStr">
        <is>
          <t>Audio kábel, 3,5 mm stereo vidlica-2 RCA zásuvka, 1,5 m</t>
        </is>
      </c>
      <c r="C1212" s="1" t="n">
        <v>1.79</v>
      </c>
      <c r="D1212" s="7" t="n">
        <f>HYPERLINK("https://www.somogyi.sk/product/audio-kabel-3-5-mm-stereo-vidlica-2-rca-zasuvka-1-5-m-a-49-1681","https://www.somogyi.sk/product/audio-kabel-3-5-mm-stereo-vidlica-2-rca-zasuvka-1-5-m-a-49-1681")</f>
        <v>0.0</v>
      </c>
      <c r="E1212" s="7" t="n">
        <f>HYPERLINK("https://www.somogyi.sk/data/img/product_main_images/small/01681.jpg","https://www.somogyi.sk/data/img/product_main_images/small/01681.jpg")</f>
        <v>0.0</v>
      </c>
      <c r="F1212" s="2" t="inlineStr">
        <is>
          <t>5998312700396</t>
        </is>
      </c>
      <c r="G1212" s="4" t="inlineStr">
        <is>
          <t xml:space="preserve"> • prípojky: Ø3,5 mm vidlica / 2 x RCA vidlica 
 • dĺžka kábla: 1,5 m 
 • pozlátený: nie 
 • kovový kryt prípojky: nie 
 • ďalšie informácie: stereo 
 • farba: čierna</t>
        </is>
      </c>
    </row>
    <row r="1213">
      <c r="A1213" s="3" t="inlineStr">
        <is>
          <t>RF 1X</t>
        </is>
      </c>
      <c r="B1213" s="2" t="inlineStr">
        <is>
          <t>Koaxiálny kábel, vidlica-zásuvka, 1,5m, blister</t>
        </is>
      </c>
      <c r="C1213" s="1" t="n">
        <v>1.49</v>
      </c>
      <c r="D1213" s="7" t="n">
        <f>HYPERLINK("https://www.somogyi.sk/product/koaxialny-kabel-vidlica-zasuvka-1-5m-blister-rf-1x-2158","https://www.somogyi.sk/product/koaxialny-kabel-vidlica-zasuvka-1-5m-blister-rf-1x-2158")</f>
        <v>0.0</v>
      </c>
      <c r="E1213" s="7" t="n">
        <f>HYPERLINK("https://www.somogyi.sk/data/img/product_main_images/small/02158.jpg","https://www.somogyi.sk/data/img/product_main_images/small/02158.jpg")</f>
        <v>0.0</v>
      </c>
      <c r="F1213" s="2" t="inlineStr">
        <is>
          <t>5998312724217</t>
        </is>
      </c>
      <c r="G1213" s="4" t="inlineStr">
        <is>
          <t xml:space="preserve"> • prípojky: koaxiálna vidlica / koaxiálna vidlica 
 • dĺžka kábla: 1,5 m 
 • pozlátený: nie 
 • kovový kryt prípojky: nie 
 • farba: biela 
 • blister: áno</t>
        </is>
      </c>
    </row>
    <row r="1214">
      <c r="A1214" s="3" t="inlineStr">
        <is>
          <t>OPK 2/1,5X</t>
        </is>
      </c>
      <c r="B1214" s="2" t="inlineStr">
        <is>
          <t>Optický kábel, 1,5m, blister</t>
        </is>
      </c>
      <c r="C1214" s="1" t="n">
        <v>4.99</v>
      </c>
      <c r="D1214" s="7" t="n">
        <f>HYPERLINK("https://www.somogyi.sk/product/opticky-kabel-1-5m-blister-opk-2-1-5x-3000","https://www.somogyi.sk/product/opticky-kabel-1-5m-blister-opk-2-1-5x-3000")</f>
        <v>0.0</v>
      </c>
      <c r="E1214" s="7" t="n">
        <f>HYPERLINK("https://www.somogyi.sk/data/img/product_main_images/small/03000.jpg","https://www.somogyi.sk/data/img/product_main_images/small/03000.jpg")</f>
        <v>0.0</v>
      </c>
      <c r="F1214" s="2" t="inlineStr">
        <is>
          <t>5998312733240</t>
        </is>
      </c>
      <c r="G1214" s="4" t="inlineStr">
        <is>
          <t xml:space="preserve"> • prípojky: Toslink / Toslink 
 • dĺžka kábla: 1,5 m 
 • pozlátený: nie 
 • kovový kryt prípojky: nie 
 • ďalšie informácie: optický kábel (Ø2,2 mm), kryt proti prachu 
 • farba: čierna 
 • blister: áno</t>
        </is>
      </c>
    </row>
    <row r="1215">
      <c r="A1215" s="3" t="inlineStr">
        <is>
          <t>A 49X</t>
        </is>
      </c>
      <c r="B1215" s="2" t="inlineStr">
        <is>
          <t>Audio kábel, 3,5 mm stereo vidlica-2 RCA zásuvka, 1,5 m, blister</t>
        </is>
      </c>
      <c r="C1215" s="1" t="n">
        <v>1.89</v>
      </c>
      <c r="D1215" s="7" t="n">
        <f>HYPERLINK("https://www.somogyi.sk/product/audio-kabel-3-5-mm-stereo-vidlica-2-rca-zasuvka-1-5-m-blister-a-49x-2156","https://www.somogyi.sk/product/audio-kabel-3-5-mm-stereo-vidlica-2-rca-zasuvka-1-5-m-blister-a-49x-2156")</f>
        <v>0.0</v>
      </c>
      <c r="E1215" s="7" t="n">
        <f>HYPERLINK("https://www.somogyi.sk/data/img/product_main_images/small/02156.jpg","https://www.somogyi.sk/data/img/product_main_images/small/02156.jpg")</f>
        <v>0.0</v>
      </c>
      <c r="F1215" s="2" t="inlineStr">
        <is>
          <t>5998312724194</t>
        </is>
      </c>
      <c r="G1215" s="4" t="inlineStr">
        <is>
          <t xml:space="preserve"> • prípojky: Ø3,5 mm vidlica / 2 x RCA vidlica 
 • dĺžka kábla: 1,5 m 
 • pozlátený: nie 
 • kovový kryt prípojky: nie 
 • ďalšie informácie: stereo 
 • farba: čierna 
 • blister: áno</t>
        </is>
      </c>
    </row>
    <row r="1216">
      <c r="A1216" s="3" t="inlineStr">
        <is>
          <t>A 49-4M</t>
        </is>
      </c>
      <c r="B1216" s="2" t="inlineStr">
        <is>
          <t>3,5 stereo - 2 x RCA, 4 m, kovový</t>
        </is>
      </c>
      <c r="C1216" s="1" t="n">
        <v>8.09</v>
      </c>
      <c r="D1216" s="7" t="n">
        <f>HYPERLINK("https://www.somogyi.sk/product/3-5-stereo-2-x-rca-4-m-kovovy-a-49-4m-16109","https://www.somogyi.sk/product/3-5-stereo-2-x-rca-4-m-kovovy-a-49-4m-16109")</f>
        <v>0.0</v>
      </c>
      <c r="E1216" s="7" t="n">
        <f>HYPERLINK("https://www.somogyi.sk/data/img/product_main_images/small/16109.jpg","https://www.somogyi.sk/data/img/product_main_images/small/16109.jpg")</f>
        <v>0.0</v>
      </c>
      <c r="F1216" s="2" t="inlineStr">
        <is>
          <t>5999084941413</t>
        </is>
      </c>
      <c r="G1216" s="4" t="inlineStr">
        <is>
          <t xml:space="preserve"> • prípojky: Ø3,5 mm vidlica / 2 x RCA vidlica 
 • dĺžka kábla: 4 m 
 • pozlátený: áno 
 • kovový kryt prípojky: áno 
 • farba: modrá</t>
        </is>
      </c>
    </row>
    <row r="1217">
      <c r="A1217" s="3" t="inlineStr">
        <is>
          <t>RF 10</t>
        </is>
      </c>
      <c r="B1217" s="2" t="inlineStr">
        <is>
          <t>Koaxiálny kábel, vidlica-zásuvka, 10m</t>
        </is>
      </c>
      <c r="C1217" s="1" t="n">
        <v>3.69</v>
      </c>
      <c r="D1217" s="7" t="n">
        <f>HYPERLINK("https://www.somogyi.sk/product/koaxialny-kabel-vidlica-zasuvka-10m-rf-10-1817","https://www.somogyi.sk/product/koaxialny-kabel-vidlica-zasuvka-10m-rf-10-1817")</f>
        <v>0.0</v>
      </c>
      <c r="E1217" s="7" t="n">
        <f>HYPERLINK("https://www.somogyi.sk/data/img/product_main_images/small/01817.jpg","https://www.somogyi.sk/data/img/product_main_images/small/01817.jpg")</f>
        <v>0.0</v>
      </c>
      <c r="F1217" s="2" t="inlineStr">
        <is>
          <t>5998312703380</t>
        </is>
      </c>
      <c r="G1217" s="4" t="inlineStr">
        <is>
          <t xml:space="preserve"> • prípojky: koaxiálna vidlica / koaxiálna vidlica 
 • dĺžka kábla: 10 m 
 • pozlátený: nie 
 • kovový kryt prípojky: nie 
 • farba: biela</t>
        </is>
      </c>
    </row>
    <row r="1218">
      <c r="A1218" s="3" t="inlineStr">
        <is>
          <t>A 49-1M</t>
        </is>
      </c>
      <c r="B1218" s="2" t="inlineStr">
        <is>
          <t>Audio kábel, 3,5mm stereo kovová vidlica-2 RCA kovová zásuvka, 1m</t>
        </is>
      </c>
      <c r="C1218" s="1" t="n">
        <v>5.59</v>
      </c>
      <c r="D1218" s="7" t="n">
        <f>HYPERLINK("https://www.somogyi.sk/product/audio-kabel-3-5mm-stereo-kovova-vidlica-2-rca-kovova-zasuvka-1m-a-49-1m-14287","https://www.somogyi.sk/product/audio-kabel-3-5mm-stereo-kovova-vidlica-2-rca-kovova-zasuvka-1m-a-49-1m-14287")</f>
        <v>0.0</v>
      </c>
      <c r="E1218" s="7" t="n">
        <f>HYPERLINK("https://www.somogyi.sk/data/img/product_main_images/small/14287.jpg","https://www.somogyi.sk/data/img/product_main_images/small/14287.jpg")</f>
        <v>0.0</v>
      </c>
      <c r="F1218" s="2" t="inlineStr">
        <is>
          <t>5999084923358</t>
        </is>
      </c>
      <c r="G1218" s="4" t="inlineStr">
        <is>
          <t xml:space="preserve"> • prípojky: Ø3,5 mm vidlica / 2 x RCA vidlica 
 • dĺžka kábla: 1 m 
 • pozlátený: áno 
 • kovový kryt prípojky: áno 
 • ďalšie informácie: bezkyslíkatá meď 
 • farba: oceľová modrá</t>
        </is>
      </c>
    </row>
    <row r="1219">
      <c r="A1219" s="3" t="inlineStr">
        <is>
          <t>A 3-1M</t>
        </is>
      </c>
      <c r="B1219" s="2" t="inlineStr">
        <is>
          <t>Audio kábel, 2 RCA kovová vidlica-2 RCA kovová vidlica, 1 m</t>
        </is>
      </c>
      <c r="C1219" s="1" t="n">
        <v>6.39</v>
      </c>
      <c r="D1219" s="7" t="n">
        <f>HYPERLINK("https://www.somogyi.sk/product/audio-kabel-2-rca-kovova-vidlica-2-rca-kovova-vidlica-1-m-a-3-1m-14289","https://www.somogyi.sk/product/audio-kabel-2-rca-kovova-vidlica-2-rca-kovova-vidlica-1-m-a-3-1m-14289")</f>
        <v>0.0</v>
      </c>
      <c r="E1219" s="7" t="n">
        <f>HYPERLINK("https://www.somogyi.sk/data/img/product_main_images/small/14289.jpg","https://www.somogyi.sk/data/img/product_main_images/small/14289.jpg")</f>
        <v>0.0</v>
      </c>
      <c r="F1219" s="2" t="inlineStr">
        <is>
          <t>5999084923372</t>
        </is>
      </c>
      <c r="G1219" s="4" t="inlineStr">
        <is>
          <t xml:space="preserve"> • prípojky: 2 x RCA vidlica / 2 x RCA vidlica 
 • dĺžka kábla: 1 m 
 • pozlátený: áno 
 • kovový kryt prípojky: áno 
 • ďalšie informácie: bezkyslíkatá meď 
 • farba: oceľová modrá</t>
        </is>
      </c>
    </row>
    <row r="1220">
      <c r="A1220" s="3" t="inlineStr">
        <is>
          <t>RF 10X</t>
        </is>
      </c>
      <c r="B1220" s="2" t="inlineStr">
        <is>
          <t>Koaxiálny kábel, vidlica-zásuvka, 10m, blister</t>
        </is>
      </c>
      <c r="C1220" s="1" t="n">
        <v>3.69</v>
      </c>
      <c r="D1220" s="7" t="n">
        <f>HYPERLINK("https://www.somogyi.sk/product/koaxialny-kabel-vidlica-zasuvka-10m-blister-rf-10x-2161","https://www.somogyi.sk/product/koaxialny-kabel-vidlica-zasuvka-10m-blister-rf-10x-2161")</f>
        <v>0.0</v>
      </c>
      <c r="E1220" s="7" t="n">
        <f>HYPERLINK("https://www.somogyi.sk/data/img/product_main_images/small/02161.jpg","https://www.somogyi.sk/data/img/product_main_images/small/02161.jpg")</f>
        <v>0.0</v>
      </c>
      <c r="F1220" s="2" t="inlineStr">
        <is>
          <t>5998312724255</t>
        </is>
      </c>
      <c r="G1220" s="4" t="inlineStr">
        <is>
          <t xml:space="preserve"> • prípojky: koaxiálna vidlica / koaxiálna vidlica 
 • dĺžka kábla: 10 m 
 • pozlátený: nie 
 • kovový kryt prípojky: nie 
 • farba: biela 
 • blister: áno</t>
        </is>
      </c>
    </row>
    <row r="1221">
      <c r="A1221" s="3" t="inlineStr">
        <is>
          <t>AC 16M</t>
        </is>
      </c>
      <c r="B1221" s="2" t="inlineStr">
        <is>
          <t>Audio rozbočovač, 3,5 mm kovová stereo vidlica-2x3,5 mm kovová stereo zásuvka, 0,15 m</t>
        </is>
      </c>
      <c r="C1221" s="1" t="n">
        <v>4.99</v>
      </c>
      <c r="D1221" s="7" t="n">
        <f>HYPERLINK("https://www.somogyi.sk/product/audio-rozbocovac-3-5-mm-kovova-stereo-vidlica-2x3-5-mm-kovova-stereo-zasuvka-0-15-m-ac-16m-14288","https://www.somogyi.sk/product/audio-rozbocovac-3-5-mm-kovova-stereo-vidlica-2x3-5-mm-kovova-stereo-zasuvka-0-15-m-ac-16m-14288")</f>
        <v>0.0</v>
      </c>
      <c r="E1221" s="7" t="n">
        <f>HYPERLINK("https://www.somogyi.sk/data/img/product_main_images/small/14288.jpg","https://www.somogyi.sk/data/img/product_main_images/small/14288.jpg")</f>
        <v>0.0</v>
      </c>
      <c r="F1221" s="2" t="inlineStr">
        <is>
          <t>5999084923365</t>
        </is>
      </c>
      <c r="G1221" s="4" t="inlineStr">
        <is>
          <t xml:space="preserve"> • prípojky: Ø3,5 mm vidlica / 2 x Ø3,5 mm zásuvka 
 • dĺžka kábla: 15 cm 
 • pozlátený: áno 
 • kovový kryt prípojky: áno 
 • ďalšie informácie: bezkyslíkatá meď 
 • farba: oceľová modrá</t>
        </is>
      </c>
    </row>
    <row r="1222">
      <c r="A1222" s="3" t="inlineStr">
        <is>
          <t>A 54-5</t>
        </is>
      </c>
      <c r="B1222" s="2" t="inlineStr">
        <is>
          <t>Audio kábel, 3,5 mm stereo vidlica-3,5 mm stereo zásuvka, 5 m</t>
        </is>
      </c>
      <c r="C1222" s="1" t="n">
        <v>3.59</v>
      </c>
      <c r="D1222" s="7" t="n">
        <f>HYPERLINK("https://www.somogyi.sk/product/audio-kabel-3-5-mm-stereo-vidlica-3-5-mm-stereo-zasuvka-5-m-a-54-5-1965","https://www.somogyi.sk/product/audio-kabel-3-5-mm-stereo-vidlica-3-5-mm-stereo-zasuvka-5-m-a-54-5-1965")</f>
        <v>0.0</v>
      </c>
      <c r="E1222" s="7" t="n">
        <f>HYPERLINK("https://www.somogyi.sk/data/img/product_main_images/small/01965.jpg","https://www.somogyi.sk/data/img/product_main_images/small/01965.jpg")</f>
        <v>0.0</v>
      </c>
      <c r="F1222" s="2" t="inlineStr">
        <is>
          <t>5998312706886</t>
        </is>
      </c>
      <c r="G1222" s="4" t="inlineStr">
        <is>
          <t xml:space="preserve"> • prípojky: Ø3,5 mm vidlica / Ø3,5 mm zásuvka 
 • dĺžka kábla: 5 m 
 • pozlátený: nie 
 • kovový kryt prípojky: nie 
 • ďalšie informácie: stereo 
 • farba: čierna</t>
        </is>
      </c>
    </row>
    <row r="1223">
      <c r="A1223" s="3" t="inlineStr">
        <is>
          <t>A 51-1M</t>
        </is>
      </c>
      <c r="B1223" s="2" t="inlineStr">
        <is>
          <t>Audio kábel, 3,5 mm stereo kovová vidlica-3,5 mm stereo kovová vidlica, 1 m</t>
        </is>
      </c>
      <c r="C1223" s="1" t="n">
        <v>3.79</v>
      </c>
      <c r="D1223" s="7" t="n">
        <f>HYPERLINK("https://www.somogyi.sk/product/audio-kabel-3-5-mm-stereo-kovova-vidlica-3-5-mm-stereo-kovova-vidlica-1-m-a-51-1m-14285","https://www.somogyi.sk/product/audio-kabel-3-5-mm-stereo-kovova-vidlica-3-5-mm-stereo-kovova-vidlica-1-m-a-51-1m-14285")</f>
        <v>0.0</v>
      </c>
      <c r="E1223" s="7" t="n">
        <f>HYPERLINK("https://www.somogyi.sk/data/img/product_main_images/small/14285.jpg","https://www.somogyi.sk/data/img/product_main_images/small/14285.jpg")</f>
        <v>0.0</v>
      </c>
      <c r="F1223" s="2" t="inlineStr">
        <is>
          <t>5999084923334</t>
        </is>
      </c>
      <c r="G1223" s="4" t="inlineStr">
        <is>
          <t xml:space="preserve"> • prípojky: Ø3,5 mm lomená vidlica / Ø3,5 mm vidlica 
 • dĺžka kábla: 1 m 
 • pozlátený: áno 
 • kovový kryt prípojky: áno 
 • ďalšie informácie: bezkyslíkatá meď 
 • farba: oceľová modrá</t>
        </is>
      </c>
    </row>
    <row r="1224">
      <c r="A1224" s="3" t="inlineStr">
        <is>
          <t>A 51</t>
        </is>
      </c>
      <c r="B1224" s="2" t="inlineStr">
        <is>
          <t>Audio kábel, 3,5mm stereo vidlica-3,5mm stereo vidlica, 1,5m</t>
        </is>
      </c>
      <c r="C1224" s="1" t="n">
        <v>1.89</v>
      </c>
      <c r="D1224" s="7" t="n">
        <f>HYPERLINK("https://www.somogyi.sk/product/audio-kabel-3-5mm-stereo-vidlica-3-5mm-stereo-vidlica-1-5m-a-51-1682","https://www.somogyi.sk/product/audio-kabel-3-5mm-stereo-vidlica-3-5mm-stereo-vidlica-1-5m-a-51-1682")</f>
        <v>0.0</v>
      </c>
      <c r="E1224" s="7" t="n">
        <f>HYPERLINK("https://www.somogyi.sk/data/img/product_main_images/small/01682.jpg","https://www.somogyi.sk/data/img/product_main_images/small/01682.jpg")</f>
        <v>0.0</v>
      </c>
      <c r="F1224" s="2" t="inlineStr">
        <is>
          <t>5998312700402</t>
        </is>
      </c>
      <c r="G1224" s="4" t="inlineStr">
        <is>
          <t xml:space="preserve"> • prípojky: Ø3,5 mm vidlica/ Ø3,5 mm vidlica 
 • dĺžka kábla: 1,5 m 
 • pozlátený: nie 
 • kovový kryt prípojky: nie 
 • ďalšie informácie: stereo 
 • farba: čierna</t>
        </is>
      </c>
    </row>
    <row r="1225">
      <c r="A1225" s="3" t="inlineStr">
        <is>
          <t>A 54-2.5M</t>
        </is>
      </c>
      <c r="B1225" s="2" t="inlineStr">
        <is>
          <t>Audio kábel, 3,5 mm stereo kovová vidlica-3,5 mm stereo kovová vidlica, 2,5 m</t>
        </is>
      </c>
      <c r="C1225" s="1" t="n">
        <v>4.79</v>
      </c>
      <c r="D1225" s="7" t="n">
        <f>HYPERLINK("https://www.somogyi.sk/product/audio-kabel-3-5-mm-stereo-kovova-vidlica-3-5-mm-stereo-kovova-vidlica-2-5-m-a-54-2-5m-14286","https://www.somogyi.sk/product/audio-kabel-3-5-mm-stereo-kovova-vidlica-3-5-mm-stereo-kovova-vidlica-2-5-m-a-54-2-5m-14286")</f>
        <v>0.0</v>
      </c>
      <c r="E1225" s="7" t="n">
        <f>HYPERLINK("https://www.somogyi.sk/data/img/product_main_images/small/14286.jpg","https://www.somogyi.sk/data/img/product_main_images/small/14286.jpg")</f>
        <v>0.0</v>
      </c>
      <c r="F1225" s="2" t="inlineStr">
        <is>
          <t>5999084923341</t>
        </is>
      </c>
      <c r="G1225" s="4" t="inlineStr">
        <is>
          <t xml:space="preserve"> • prípojky: Ø3,5 mm vidlica / Ø3,5 mm zásuvka 
 • dĺžka kábla: 2,5 m 
 • pozlátený: áno 
 • kovový kryt prípojky: áno 
 • ďalšie informácie: bezkyslíkatá meď 
 • farba: oceľová modrá</t>
        </is>
      </c>
    </row>
    <row r="1226">
      <c r="A1226" s="3" t="inlineStr">
        <is>
          <t>A 51X</t>
        </is>
      </c>
      <c r="B1226" s="2" t="inlineStr">
        <is>
          <t>Audio kábel, 3,5 mm stereo vidlica-3,5 mm stereo vidlica, 1,5 m, blister</t>
        </is>
      </c>
      <c r="C1226" s="1" t="n">
        <v>2.09</v>
      </c>
      <c r="D1226" s="7" t="n">
        <f>HYPERLINK("https://www.somogyi.sk/product/audio-kabel-3-5-mm-stereo-vidlica-3-5-mm-stereo-vidlica-1-5-m-blister-a-51x-2153","https://www.somogyi.sk/product/audio-kabel-3-5-mm-stereo-vidlica-3-5-mm-stereo-vidlica-1-5-m-blister-a-51x-2153")</f>
        <v>0.0</v>
      </c>
      <c r="E1226" s="7" t="n">
        <f>HYPERLINK("https://www.somogyi.sk/data/img/product_main_images/small/02153.jpg","https://www.somogyi.sk/data/img/product_main_images/small/02153.jpg")</f>
        <v>0.0</v>
      </c>
      <c r="F1226" s="2" t="inlineStr">
        <is>
          <t>5998312724163</t>
        </is>
      </c>
      <c r="G1226" s="4" t="inlineStr">
        <is>
          <t xml:space="preserve"> • prípojky: Ø3,5 mm vidlica / Ø3,5 mm vidlica 
 • dĺžka kábla: 1,5 m 
 • pozlátený: nie 
 • kovový kryt prípojky: nie 
 • ďalšie informácie: stereo 
 • farba: čierna 
 • blister: áno</t>
        </is>
      </c>
    </row>
    <row r="1227">
      <c r="A1227" s="3" t="inlineStr">
        <is>
          <t>A 49-5</t>
        </is>
      </c>
      <c r="B1227" s="2" t="inlineStr">
        <is>
          <t>Audio kábel, 3,5 mm stereo vidlica-2 RCA zásuvka, 5 m</t>
        </is>
      </c>
      <c r="C1227" s="1" t="n">
        <v>2.59</v>
      </c>
      <c r="D1227" s="7" t="n">
        <f>HYPERLINK("https://www.somogyi.sk/product/audio-kabel-3-5-mm-stereo-vidlica-2-rca-zasuvka-5-m-a-49-5-4805","https://www.somogyi.sk/product/audio-kabel-3-5-mm-stereo-vidlica-2-rca-zasuvka-5-m-a-49-5-4805")</f>
        <v>0.0</v>
      </c>
      <c r="E1227" s="7" t="n">
        <f>HYPERLINK("https://www.somogyi.sk/data/img/product_main_images/small/04805.jpg","https://www.somogyi.sk/data/img/product_main_images/small/04805.jpg")</f>
        <v>0.0</v>
      </c>
      <c r="F1227" s="2" t="inlineStr">
        <is>
          <t>5998312742471</t>
        </is>
      </c>
      <c r="G1227" s="4" t="inlineStr">
        <is>
          <t xml:space="preserve"> • prípojky: Ø3,5 mm vidlica / 2 x RCA vidlica 
 • dĺžka kábla: 5 m 
 • pozlátený: nie 
 • kovový kryt prípojky: nie 
 • ďalšie informácie: stereo 
 • farba: čierna</t>
        </is>
      </c>
    </row>
    <row r="1228">
      <c r="A1228" s="3" t="inlineStr">
        <is>
          <t>RF 3X</t>
        </is>
      </c>
      <c r="B1228" s="2" t="inlineStr">
        <is>
          <t>Koaxiálny kábel, vidlica-zásuvka, 3m, blister</t>
        </is>
      </c>
      <c r="C1228" s="1" t="n">
        <v>1.69</v>
      </c>
      <c r="D1228" s="7" t="n">
        <f>HYPERLINK("https://www.somogyi.sk/product/koaxialny-kabel-vidlica-zasuvka-3m-blister-rf-3x-2159","https://www.somogyi.sk/product/koaxialny-kabel-vidlica-zasuvka-3m-blister-rf-3x-2159")</f>
        <v>0.0</v>
      </c>
      <c r="E1228" s="7" t="n">
        <f>HYPERLINK("https://www.somogyi.sk/data/img/product_main_images/small/02159.jpg","https://www.somogyi.sk/data/img/product_main_images/small/02159.jpg")</f>
        <v>0.0</v>
      </c>
      <c r="F1228" s="2" t="inlineStr">
        <is>
          <t>5998312724231</t>
        </is>
      </c>
      <c r="G1228" s="4" t="inlineStr">
        <is>
          <t xml:space="preserve"> • prípojky: koaxiálna vidlica / koaxiálna vidlica 
 • dĺžka kábla: 2,5 m 
 • pozlátený: nie 
 • kovový kryt prípojky: nie 
 • farba: biela 
 • blister: áno</t>
        </is>
      </c>
    </row>
    <row r="1229">
      <c r="A1229" s="3" t="inlineStr">
        <is>
          <t>A 3X</t>
        </is>
      </c>
      <c r="B1229" s="2" t="inlineStr">
        <is>
          <t>Audio kábel, 2 RCA vidlica-2 RCA vidlica, 1,5 m, blister</t>
        </is>
      </c>
      <c r="C1229" s="1" t="n">
        <v>2.09</v>
      </c>
      <c r="D1229" s="7" t="n">
        <f>HYPERLINK("https://www.somogyi.sk/product/audio-kabel-2-rca-vidlica-2-rca-vidlica-1-5-m-blister-a-3x-2145","https://www.somogyi.sk/product/audio-kabel-2-rca-vidlica-2-rca-vidlica-1-5-m-blister-a-3x-2145")</f>
        <v>0.0</v>
      </c>
      <c r="E1229" s="7" t="n">
        <f>HYPERLINK("https://www.somogyi.sk/data/img/product_main_images/small/02145.jpg","https://www.somogyi.sk/data/img/product_main_images/small/02145.jpg")</f>
        <v>0.0</v>
      </c>
      <c r="F1229" s="2" t="inlineStr">
        <is>
          <t>5998312724088</t>
        </is>
      </c>
      <c r="G1229" s="4" t="inlineStr">
        <is>
          <t xml:space="preserve"> • prípojky: 2 x RCA vidlica / 2 x RCA vidlica 
 • dĺžka kábla: 1,5 m 
 • pozlátený: nie 
 • kovový kryt prípojky: nie 
 • farba: čierna 
 • blister: áno</t>
        </is>
      </c>
    </row>
    <row r="1230">
      <c r="A1230" s="3" t="inlineStr">
        <is>
          <t>OPK 2/1,5</t>
        </is>
      </c>
      <c r="B1230" s="2" t="inlineStr">
        <is>
          <t>Optický kábel, 1,5m</t>
        </is>
      </c>
      <c r="C1230" s="1" t="n">
        <v>4.69</v>
      </c>
      <c r="D1230" s="7" t="n">
        <f>HYPERLINK("https://www.somogyi.sk/product/opticky-kabel-1-5m-opk-2-1-5-2708","https://www.somogyi.sk/product/opticky-kabel-1-5m-opk-2-1-5-2708")</f>
        <v>0.0</v>
      </c>
      <c r="E1230" s="7" t="n">
        <f>HYPERLINK("https://www.somogyi.sk/data/img/product_main_images/small/02708.jpg","https://www.somogyi.sk/data/img/product_main_images/small/02708.jpg")</f>
        <v>0.0</v>
      </c>
      <c r="F1230" s="2" t="inlineStr">
        <is>
          <t>5998312730324</t>
        </is>
      </c>
      <c r="G1230" s="4" t="inlineStr">
        <is>
          <t xml:space="preserve"> • prípojky: Toslink / Toslink 
 • dĺžka kábla: 1,5 m 
 • pozlátený: nie 
 • kovový kryt prípojky: nie 
 • ďalšie informácie: optický  kábel (Ø2,2 mm), kryt proti prachu 
 • farba: čierna</t>
        </is>
      </c>
    </row>
    <row r="1231">
      <c r="A1231" s="3" t="inlineStr">
        <is>
          <t>A 3</t>
        </is>
      </c>
      <c r="B1231" s="2" t="inlineStr">
        <is>
          <t>Audio kábel, 2 RCA vidlica-2 RCA vidlica, 1,5 m</t>
        </is>
      </c>
      <c r="C1231" s="1" t="n">
        <v>1.79</v>
      </c>
      <c r="D1231" s="7" t="n">
        <f>HYPERLINK("https://www.somogyi.sk/product/audio-kabel-2-rca-vidlica-2-rca-vidlica-1-5-m-a-3-1675","https://www.somogyi.sk/product/audio-kabel-2-rca-vidlica-2-rca-vidlica-1-5-m-a-3-1675")</f>
        <v>0.0</v>
      </c>
      <c r="E1231" s="7" t="n">
        <f>HYPERLINK("https://www.somogyi.sk/data/img/product_main_images/small/01675.jpg","https://www.somogyi.sk/data/img/product_main_images/small/01675.jpg")</f>
        <v>0.0</v>
      </c>
      <c r="F1231" s="2" t="inlineStr">
        <is>
          <t>5998312700327</t>
        </is>
      </c>
      <c r="G1231" s="4" t="inlineStr">
        <is>
          <t xml:space="preserve"> • prípojky: 2 x RCA vidlica / 2 x RCA vidlica 
 • dĺžka kábla: 1,5 m 
 • pozlátený: nie 
 • kovový kryt prípojky: nie 
 • farba: čierna</t>
        </is>
      </c>
    </row>
    <row r="1232">
      <c r="A1232" s="3" t="inlineStr">
        <is>
          <t>RF 5X</t>
        </is>
      </c>
      <c r="B1232" s="2" t="inlineStr">
        <is>
          <t>Koaxiálny kábel, vidlica-zásuvka, 5m, blister</t>
        </is>
      </c>
      <c r="C1232" s="1" t="n">
        <v>2.39</v>
      </c>
      <c r="D1232" s="7" t="n">
        <f>HYPERLINK("https://www.somogyi.sk/product/koaxialny-kabel-vidlica-zasuvka-5m-blister-rf-5x-2160","https://www.somogyi.sk/product/koaxialny-kabel-vidlica-zasuvka-5m-blister-rf-5x-2160")</f>
        <v>0.0</v>
      </c>
      <c r="E1232" s="7" t="n">
        <f>HYPERLINK("https://www.somogyi.sk/data/img/product_main_images/small/02160.jpg","https://www.somogyi.sk/data/img/product_main_images/small/02160.jpg")</f>
        <v>0.0</v>
      </c>
      <c r="F1232" s="2" t="inlineStr">
        <is>
          <t>5998312724248</t>
        </is>
      </c>
      <c r="G1232" s="4" t="inlineStr">
        <is>
          <t xml:space="preserve"> • prípojky: koaxiálna vidlica / koaxiálna vidlica 
 • dĺžka kábla: 5 m 
 • pozlátený: nie 
 • kovový kryt prípojky: nie 
 • farba: biela 
 • blister: áno</t>
        </is>
      </c>
    </row>
    <row r="1233">
      <c r="A1233" s="3" t="inlineStr">
        <is>
          <t>A 51-5</t>
        </is>
      </c>
      <c r="B1233" s="2" t="inlineStr">
        <is>
          <t>Audio kábel, 3,5 mm stereo vidlica-3,5 mm stereo vidlica, 5 m</t>
        </is>
      </c>
      <c r="C1233" s="1" t="n">
        <v>3.79</v>
      </c>
      <c r="D1233" s="7" t="n">
        <f>HYPERLINK("https://www.somogyi.sk/product/audio-kabel-3-5-mm-stereo-vidlica-3-5-mm-stereo-vidlica-5-m-a-51-5-5014","https://www.somogyi.sk/product/audio-kabel-3-5-mm-stereo-vidlica-3-5-mm-stereo-vidlica-5-m-a-51-5-5014")</f>
        <v>0.0</v>
      </c>
      <c r="E1233" s="7" t="n">
        <f>HYPERLINK("https://www.somogyi.sk/data/img/product_main_images/small/05014.jpg","https://www.somogyi.sk/data/img/product_main_images/small/05014.jpg")</f>
        <v>0.0</v>
      </c>
      <c r="F1233" s="2" t="inlineStr">
        <is>
          <t>5998312744369</t>
        </is>
      </c>
      <c r="G1233" s="4" t="inlineStr">
        <is>
          <t xml:space="preserve"> • prípojky: Ø3,5 mm vidlica / Ø3,5 mm vidlica 
 • dĺžka kábla: 5 m 
 • pozlátený: nie 
 • kovový kryt prípojky: nie 
 • ďalšie informácie: stereo 
 • farba: čierna</t>
        </is>
      </c>
    </row>
    <row r="1234">
      <c r="A1234" s="3" t="inlineStr">
        <is>
          <t>RF 5</t>
        </is>
      </c>
      <c r="B1234" s="2" t="inlineStr">
        <is>
          <t>Koaxiálny kábel, vidlica-zásuvka, 5m</t>
        </is>
      </c>
      <c r="C1234" s="1" t="n">
        <v>2.19</v>
      </c>
      <c r="D1234" s="7" t="n">
        <f>HYPERLINK("https://www.somogyi.sk/product/koaxialny-kabel-vidlica-zasuvka-5m-rf-5-1819","https://www.somogyi.sk/product/koaxialny-kabel-vidlica-zasuvka-5m-rf-5-1819")</f>
        <v>0.0</v>
      </c>
      <c r="E1234" s="7" t="n">
        <f>HYPERLINK("https://www.somogyi.sk/data/img/product_main_images/small/01819.jpg","https://www.somogyi.sk/data/img/product_main_images/small/01819.jpg")</f>
        <v>0.0</v>
      </c>
      <c r="F1234" s="2" t="inlineStr">
        <is>
          <t>5998312703403</t>
        </is>
      </c>
      <c r="G1234" s="4" t="inlineStr">
        <is>
          <t xml:space="preserve"> • prípojky: koaxiálna vidlica / koaxiálna vidlica 
 • dĺžka kábla: 5 m 
 • pozlátený: nie 
 • kovový kryt prípojky: nie 
 • farba: biela</t>
        </is>
      </c>
    </row>
    <row r="1235">
      <c r="A1235" s="3" t="inlineStr">
        <is>
          <t>RF 1</t>
        </is>
      </c>
      <c r="B1235" s="2" t="inlineStr">
        <is>
          <t>Koaxiálny kábel, vidlica-zásuvka</t>
        </is>
      </c>
      <c r="C1235" s="1" t="n">
        <v>1.09</v>
      </c>
      <c r="D1235" s="7" t="n">
        <f>HYPERLINK("https://www.somogyi.sk/product/koaxialny-kabel-vidlica-zasuvka-rf-1-1816","https://www.somogyi.sk/product/koaxialny-kabel-vidlica-zasuvka-rf-1-1816")</f>
        <v>0.0</v>
      </c>
      <c r="E1235" s="7" t="n">
        <f>HYPERLINK("https://www.somogyi.sk/data/img/product_main_images/small/01816.jpg","https://www.somogyi.sk/data/img/product_main_images/small/01816.jpg")</f>
        <v>0.0</v>
      </c>
      <c r="F1235" s="2" t="inlineStr">
        <is>
          <t>5998312703373</t>
        </is>
      </c>
      <c r="G1235" s="4" t="inlineStr">
        <is>
          <t xml:space="preserve"> • prípojky: koaxiálna vidlica / koaxiálna vidlica 
 • dĺžka kábla: 1,5 m 
 • pozlátený: nie 
 • kovový kryt prípojky: nie 
 • farba: biela</t>
        </is>
      </c>
    </row>
    <row r="1236">
      <c r="A1236" s="6" t="inlineStr">
        <is>
          <t xml:space="preserve">   Audio-video doplnky / Audio redukcia</t>
        </is>
      </c>
      <c r="B1236" s="6" t="inlineStr">
        <is>
          <t/>
        </is>
      </c>
      <c r="C1236" s="6" t="inlineStr">
        <is>
          <t/>
        </is>
      </c>
      <c r="D1236" s="6" t="inlineStr">
        <is>
          <t/>
        </is>
      </c>
      <c r="E1236" s="6" t="inlineStr">
        <is>
          <t/>
        </is>
      </c>
      <c r="F1236" s="6" t="inlineStr">
        <is>
          <t/>
        </is>
      </c>
      <c r="G1236" s="6" t="inlineStr">
        <is>
          <t/>
        </is>
      </c>
    </row>
    <row r="1237">
      <c r="A1237" s="3" t="inlineStr">
        <is>
          <t>AC 9X</t>
        </is>
      </c>
      <c r="B1237" s="2" t="inlineStr">
        <is>
          <t>Audio redukcia, 6,3 mm stereo vidlica- 3,5 mm stereo zásuvka, blister</t>
        </is>
      </c>
      <c r="C1237" s="1" t="n">
        <v>0.99</v>
      </c>
      <c r="D1237" s="7" t="n">
        <f>HYPERLINK("https://www.somogyi.sk/product/audio-redukcia-6-3-mm-stereo-vidlica-3-5-mm-stereo-zasuvka-blister-ac-9x-2258","https://www.somogyi.sk/product/audio-redukcia-6-3-mm-stereo-vidlica-3-5-mm-stereo-zasuvka-blister-ac-9x-2258")</f>
        <v>0.0</v>
      </c>
      <c r="E1237" s="7" t="n">
        <f>HYPERLINK("https://www.somogyi.sk/data/img/product_main_images/small/02258.jpg","https://www.somogyi.sk/data/img/product_main_images/small/02258.jpg")</f>
        <v>0.0</v>
      </c>
      <c r="F1237" s="2" t="inlineStr">
        <is>
          <t>5998312725245</t>
        </is>
      </c>
      <c r="G1237" s="4" t="inlineStr">
        <is>
          <t xml:space="preserve"> • prípojky: Ø6,3 mm vidlica / Ø3,5 mm zásuvka 
 • ďalšie informácie: stereo 
 • blister: áno</t>
        </is>
      </c>
    </row>
    <row r="1238">
      <c r="A1238" s="3" t="inlineStr">
        <is>
          <t>AC 16</t>
        </is>
      </c>
      <c r="B1238" s="2" t="inlineStr">
        <is>
          <t>Audio redukcia, 3,5 mm stereo vidlica-2 x 3,5 mm stereo zásuvka</t>
        </is>
      </c>
      <c r="C1238" s="1" t="n">
        <v>0.49</v>
      </c>
      <c r="D1238" s="7" t="n">
        <f>HYPERLINK("https://www.somogyi.sk/product/audio-redukcia-3-5-mm-stereo-vidlica-2-x-3-5-mm-stereo-zasuvka-ac-16-1698","https://www.somogyi.sk/product/audio-redukcia-3-5-mm-stereo-vidlica-2-x-3-5-mm-stereo-zasuvka-ac-16-1698")</f>
        <v>0.0</v>
      </c>
      <c r="E1238" s="7" t="n">
        <f>HYPERLINK("https://www.somogyi.sk/data/img/product_main_images/small/01698.jpg","https://www.somogyi.sk/data/img/product_main_images/small/01698.jpg")</f>
        <v>0.0</v>
      </c>
      <c r="F1238" s="2" t="inlineStr">
        <is>
          <t>5998312700631</t>
        </is>
      </c>
      <c r="G1238" s="4" t="inlineStr">
        <is>
          <t xml:space="preserve"> • prípojky: Ø3,5 mm vidlica / 2 x Ø3,5 mm zásuvka 
 • ďalšie informácie: stereo</t>
        </is>
      </c>
    </row>
    <row r="1239">
      <c r="A1239" s="3" t="inlineStr">
        <is>
          <t>AC 17</t>
        </is>
      </c>
      <c r="B1239" s="2" t="inlineStr">
        <is>
          <t>Audio redukcia, 3,5mm stereo vidlica-2xRCA zásuvka</t>
        </is>
      </c>
      <c r="C1239" s="1" t="n">
        <v>0.69</v>
      </c>
      <c r="D1239" s="7" t="n">
        <f>HYPERLINK("https://www.somogyi.sk/product/audio-redukcia-3-5mm-stereo-vidlica-2xrca-zasuvka-ac-17-1699","https://www.somogyi.sk/product/audio-redukcia-3-5mm-stereo-vidlica-2xrca-zasuvka-ac-17-1699")</f>
        <v>0.0</v>
      </c>
      <c r="E1239" s="7" t="n">
        <f>HYPERLINK("https://www.somogyi.sk/data/img/product_main_images/small/01699.jpg","https://www.somogyi.sk/data/img/product_main_images/small/01699.jpg")</f>
        <v>0.0</v>
      </c>
      <c r="F1239" s="2" t="inlineStr">
        <is>
          <t>5998312700648</t>
        </is>
      </c>
      <c r="G1239" s="4" t="inlineStr">
        <is>
          <t xml:space="preserve"> • prípojky: Ø3,5 mm vidlica / 2 x RCA zásuvka 
 • ďalšie informácie: stereo</t>
        </is>
      </c>
    </row>
    <row r="1240">
      <c r="A1240" s="3" t="inlineStr">
        <is>
          <t>AC 19</t>
        </is>
      </c>
      <c r="B1240" s="2" t="inlineStr">
        <is>
          <t>RCA spojka, zásuvka-zásuvka</t>
        </is>
      </c>
      <c r="C1240" s="1" t="n">
        <v>0.39</v>
      </c>
      <c r="D1240" s="7" t="n">
        <f>HYPERLINK("https://www.somogyi.sk/product/rca-spojka-zasuvka-zasuvka-ac-19-1701","https://www.somogyi.sk/product/rca-spojka-zasuvka-zasuvka-ac-19-1701")</f>
        <v>0.0</v>
      </c>
      <c r="E1240" s="7" t="n">
        <f>HYPERLINK("https://www.somogyi.sk/data/img/product_main_images/small/01701.jpg","https://www.somogyi.sk/data/img/product_main_images/small/01701.jpg")</f>
        <v>0.0</v>
      </c>
      <c r="F1240" s="2" t="inlineStr">
        <is>
          <t>5998312700662</t>
        </is>
      </c>
      <c r="G1240" s="4" t="inlineStr">
        <is>
          <t xml:space="preserve"> • prípojky: RCA zásuvka / RCA zásuvka 
 • ďalšie informácie: mono</t>
        </is>
      </c>
    </row>
    <row r="1241">
      <c r="A1241" s="3" t="inlineStr">
        <is>
          <t>AC 4</t>
        </is>
      </c>
      <c r="B1241" s="2" t="inlineStr">
        <is>
          <t>Audio redukcia, 6,3 mm mono vidlica-RCA zásuvka</t>
        </is>
      </c>
      <c r="C1241" s="1" t="n">
        <v>0.69</v>
      </c>
      <c r="D1241" s="7" t="n">
        <f>HYPERLINK("https://www.somogyi.sk/product/audio-redukcia-6-3-mm-mono-vidlica-rca-zasuvka-ac-4-1708","https://www.somogyi.sk/product/audio-redukcia-6-3-mm-mono-vidlica-rca-zasuvka-ac-4-1708")</f>
        <v>0.0</v>
      </c>
      <c r="E1241" s="7" t="n">
        <f>HYPERLINK("https://www.somogyi.sk/data/img/product_main_images/small/01708.jpg","https://www.somogyi.sk/data/img/product_main_images/small/01708.jpg")</f>
        <v>0.0</v>
      </c>
      <c r="F1241" s="2" t="inlineStr">
        <is>
          <t>5998312700778</t>
        </is>
      </c>
      <c r="G1241" s="4" t="inlineStr">
        <is>
          <t xml:space="preserve"> • prípojky: Ø6,3 mm vidlica / RCA zásuvka 
 • ďalšie informácie: mono</t>
        </is>
      </c>
    </row>
    <row r="1242">
      <c r="A1242" s="3" t="inlineStr">
        <is>
          <t>AC 6</t>
        </is>
      </c>
      <c r="B1242" s="2" t="inlineStr">
        <is>
          <t>Audio redukcia, 3,5 mm stereo vidlica-2 x 6,3 mm stereo zásuvka</t>
        </is>
      </c>
      <c r="C1242" s="1" t="n">
        <v>0.79</v>
      </c>
      <c r="D1242" s="7" t="n">
        <f>HYPERLINK("https://www.somogyi.sk/product/audio-redukcia-3-5-mm-stereo-vidlica-2-x-6-3-mm-stereo-zasuvka-ac-6-1709","https://www.somogyi.sk/product/audio-redukcia-3-5-mm-stereo-vidlica-2-x-6-3-mm-stereo-zasuvka-ac-6-1709")</f>
        <v>0.0</v>
      </c>
      <c r="E1242" s="7" t="n">
        <f>HYPERLINK("https://www.somogyi.sk/data/img/product_main_images/small/01709.jpg","https://www.somogyi.sk/data/img/product_main_images/small/01709.jpg")</f>
        <v>0.0</v>
      </c>
      <c r="F1242" s="2" t="inlineStr">
        <is>
          <t>5998312700792</t>
        </is>
      </c>
      <c r="G1242" s="4" t="inlineStr">
        <is>
          <t xml:space="preserve"> • prípojky: Ø3,5 mm vidlica / Ø6,3 mm zásuvka 
 • ďalšie informácie: stereo</t>
        </is>
      </c>
    </row>
    <row r="1243">
      <c r="A1243" s="3" t="inlineStr">
        <is>
          <t>AC 17X</t>
        </is>
      </c>
      <c r="B1243" s="2" t="inlineStr">
        <is>
          <t>Audio redukcia, 3,5 mm stereo vidlica-2xRCA zásuvka, blister</t>
        </is>
      </c>
      <c r="C1243" s="1" t="n">
        <v>0.89</v>
      </c>
      <c r="D1243" s="7" t="n">
        <f>HYPERLINK("https://www.somogyi.sk/product/audio-redukcia-3-5-mm-stereo-vidlica-2xrca-zasuvka-blister-ac-17x-2256","https://www.somogyi.sk/product/audio-redukcia-3-5-mm-stereo-vidlica-2xrca-zasuvka-blister-ac-17x-2256")</f>
        <v>0.0</v>
      </c>
      <c r="E1243" s="7" t="n">
        <f>HYPERLINK("https://www.somogyi.sk/data/img/product_main_images/small/02256.jpg","https://www.somogyi.sk/data/img/product_main_images/small/02256.jpg")</f>
        <v>0.0</v>
      </c>
      <c r="F1243" s="2" t="inlineStr">
        <is>
          <t>5998312725221</t>
        </is>
      </c>
      <c r="G1243" s="4" t="inlineStr">
        <is>
          <t xml:space="preserve"> • prípojky: Ø3,5 mm vidlica / 2 x RCA zásuvka 
 • ďalšie informácie: stereo 
 • blister: áno</t>
        </is>
      </c>
    </row>
    <row r="1244">
      <c r="A1244" s="3" t="inlineStr">
        <is>
          <t>AC 6X</t>
        </is>
      </c>
      <c r="B1244" s="2" t="inlineStr">
        <is>
          <t>Audio redukcia, 3,5 mm stereo vidlica-2 x 6,3 mm stereo zásuvka, blister</t>
        </is>
      </c>
      <c r="C1244" s="1" t="n">
        <v>0.99</v>
      </c>
      <c r="D1244" s="7" t="n">
        <f>HYPERLINK("https://www.somogyi.sk/product/audio-redukcia-3-5-mm-stereo-vidlica-2-x-6-3-mm-stereo-zasuvka-blister-ac-6x-2255","https://www.somogyi.sk/product/audio-redukcia-3-5-mm-stereo-vidlica-2-x-6-3-mm-stereo-zasuvka-blister-ac-6x-2255")</f>
        <v>0.0</v>
      </c>
      <c r="E1244" s="7" t="n">
        <f>HYPERLINK("https://www.somogyi.sk/data/img/product_main_images/small/02255.jpg","https://www.somogyi.sk/data/img/product_main_images/small/02255.jpg")</f>
        <v>0.0</v>
      </c>
      <c r="F1244" s="2" t="inlineStr">
        <is>
          <t>5998312725214</t>
        </is>
      </c>
      <c r="G1244" s="4" t="inlineStr">
        <is>
          <t xml:space="preserve"> • prípojky: Ø3,5 mm vidlica / Ø6,3 mm zásuvka 
 • ďalšie informácie: stereo 
 • blister: áno</t>
        </is>
      </c>
    </row>
    <row r="1245">
      <c r="A1245" s="3" t="inlineStr">
        <is>
          <t>AC 4X</t>
        </is>
      </c>
      <c r="B1245" s="2" t="inlineStr">
        <is>
          <t>Audio redukcia, 6,3 mm mono vidlica-RCA zásuvka, blister</t>
        </is>
      </c>
      <c r="C1245" s="1" t="n">
        <v>0.89</v>
      </c>
      <c r="D1245" s="7" t="n">
        <f>HYPERLINK("https://www.somogyi.sk/product/audio-redukcia-6-3-mm-mono-vidlica-rca-zasuvka-blister-ac-4x-2257","https://www.somogyi.sk/product/audio-redukcia-6-3-mm-mono-vidlica-rca-zasuvka-blister-ac-4x-2257")</f>
        <v>0.0</v>
      </c>
      <c r="E1245" s="7" t="n">
        <f>HYPERLINK("https://www.somogyi.sk/data/img/product_main_images/small/02257.jpg","https://www.somogyi.sk/data/img/product_main_images/small/02257.jpg")</f>
        <v>0.0</v>
      </c>
      <c r="F1245" s="2" t="inlineStr">
        <is>
          <t>5998312725238</t>
        </is>
      </c>
      <c r="G1245" s="4" t="inlineStr">
        <is>
          <t xml:space="preserve"> • prípojky: Ø6,3 mm vidlica / RCA zásuvka 
 • ďalšie informácie: mono 
 • blister: áno</t>
        </is>
      </c>
    </row>
    <row r="1246">
      <c r="A1246" s="3" t="inlineStr">
        <is>
          <t>AC 9</t>
        </is>
      </c>
      <c r="B1246" s="2" t="inlineStr">
        <is>
          <t>Audio redukcia, 6,3 mm stereo vidlica- 3,5 mm stereo zásuvka</t>
        </is>
      </c>
      <c r="C1246" s="1" t="n">
        <v>0.79</v>
      </c>
      <c r="D1246" s="7" t="n">
        <f>HYPERLINK("https://www.somogyi.sk/product/audio-redukcia-6-3-mm-stereo-vidlica-3-5-mm-stereo-zasuvka-ac-9-1711","https://www.somogyi.sk/product/audio-redukcia-6-3-mm-stereo-vidlica-3-5-mm-stereo-zasuvka-ac-9-1711")</f>
        <v>0.0</v>
      </c>
      <c r="E1246" s="7" t="n">
        <f>HYPERLINK("https://www.somogyi.sk/data/img/product_main_images/small/01711.jpg","https://www.somogyi.sk/data/img/product_main_images/small/01711.jpg")</f>
        <v>0.0</v>
      </c>
      <c r="F1246" s="2" t="inlineStr">
        <is>
          <t>5998312700815</t>
        </is>
      </c>
      <c r="G1246" s="4" t="inlineStr">
        <is>
          <t xml:space="preserve"> • prípojky: Ø6,3 mm vidlica / Ø3,5 mm zásuvka 
 • ďalšie informácie: stereo</t>
        </is>
      </c>
    </row>
    <row r="1247">
      <c r="A1247" s="3" t="inlineStr">
        <is>
          <t>AC 16X</t>
        </is>
      </c>
      <c r="B1247" s="2" t="inlineStr">
        <is>
          <t>Audio redukcia, 3,5 mm stereo vidlica-2 x 3,5 mm stereo zásuvka, blister</t>
        </is>
      </c>
      <c r="C1247" s="1" t="n">
        <v>0.79</v>
      </c>
      <c r="D1247" s="7" t="n">
        <f>HYPERLINK("https://www.somogyi.sk/product/audio-redukcia-3-5-mm-stereo-vidlica-2-x-3-5-mm-stereo-zasuvka-blister-ac-16x-2254","https://www.somogyi.sk/product/audio-redukcia-3-5-mm-stereo-vidlica-2-x-3-5-mm-stereo-zasuvka-blister-ac-16x-2254")</f>
        <v>0.0</v>
      </c>
      <c r="E1247" s="7" t="n">
        <f>HYPERLINK("https://www.somogyi.sk/data/img/product_main_images/small/02254.jpg","https://www.somogyi.sk/data/img/product_main_images/small/02254.jpg")</f>
        <v>0.0</v>
      </c>
      <c r="F1247" s="2" t="inlineStr">
        <is>
          <t>5998312725207</t>
        </is>
      </c>
      <c r="G1247" s="4" t="inlineStr">
        <is>
          <t xml:space="preserve"> • prípojky: Ø3,5 mm vidlica / 2 x Ø3,5 mm zásuvka 
 • ďalšie informácie: stereo 
 • blister: áno</t>
        </is>
      </c>
    </row>
    <row r="1248">
      <c r="A1248" s="3" t="inlineStr">
        <is>
          <t>AC 19X</t>
        </is>
      </c>
      <c r="B1248" s="2" t="inlineStr">
        <is>
          <t>RCA spojka, zásuvka-zásuvka, blister</t>
        </is>
      </c>
      <c r="C1248" s="1" t="n">
        <v>0.59</v>
      </c>
      <c r="D1248" s="7" t="n">
        <f>HYPERLINK("https://www.somogyi.sk/product/rca-spojka-zasuvka-zasuvka-blister-ac-19x-2213","https://www.somogyi.sk/product/rca-spojka-zasuvka-zasuvka-blister-ac-19x-2213")</f>
        <v>0.0</v>
      </c>
      <c r="E1248" s="7" t="n">
        <f>HYPERLINK("https://www.somogyi.sk/data/img/product_main_images/small/02213.jpg","https://www.somogyi.sk/data/img/product_main_images/small/02213.jpg")</f>
        <v>0.0</v>
      </c>
      <c r="F1248" s="2" t="inlineStr">
        <is>
          <t>5998312724781</t>
        </is>
      </c>
      <c r="G1248" s="4" t="inlineStr">
        <is>
          <t xml:space="preserve"> • prípojky: RCA zásuvka / RCA zásuvka 
 • ďalšie informácie: mono 
 • blister: áno</t>
        </is>
      </c>
    </row>
    <row r="1249">
      <c r="A1249" s="6" t="inlineStr">
        <is>
          <t xml:space="preserve">   Audio-video doplnky / Audio a video prípojka</t>
        </is>
      </c>
      <c r="B1249" s="6" t="inlineStr">
        <is>
          <t/>
        </is>
      </c>
      <c r="C1249" s="6" t="inlineStr">
        <is>
          <t/>
        </is>
      </c>
      <c r="D1249" s="6" t="inlineStr">
        <is>
          <t/>
        </is>
      </c>
      <c r="E1249" s="6" t="inlineStr">
        <is>
          <t/>
        </is>
      </c>
      <c r="F1249" s="6" t="inlineStr">
        <is>
          <t/>
        </is>
      </c>
      <c r="G1249" s="6" t="inlineStr">
        <is>
          <t/>
        </is>
      </c>
    </row>
    <row r="1250">
      <c r="A1250" s="3" t="inlineStr">
        <is>
          <t>SK 4KX</t>
        </is>
      </c>
      <c r="B1250" s="2" t="inlineStr">
        <is>
          <t>Jack zásuvka, stereo, voľná, 3,5mm, blister</t>
        </is>
      </c>
      <c r="C1250" s="1" t="n">
        <v>0.99</v>
      </c>
      <c r="D1250" s="7" t="n">
        <f>HYPERLINK("https://www.somogyi.sk/product/jack-zasuvka-stereo-volna-3-5mm-blister-sk-4kx-2320","https://www.somogyi.sk/product/jack-zasuvka-stereo-volna-3-5mm-blister-sk-4kx-2320")</f>
        <v>0.0</v>
      </c>
      <c r="E1250" s="7" t="n">
        <f>HYPERLINK("https://www.somogyi.sk/data/img/product_main_images/small/02320.jpg","https://www.somogyi.sk/data/img/product_main_images/small/02320.jpg")</f>
        <v>0.0</v>
      </c>
      <c r="F1250" s="2" t="inlineStr">
        <is>
          <t>5998312725870</t>
        </is>
      </c>
      <c r="G1250" s="4" t="inlineStr">
        <is>
          <t xml:space="preserve"> • prípojka: Ø3,5 mm zásuvka 
 • materiál krytu: plast 
 • pozlátený: nie 
 • zapojenie: spájkovateľná 
 • stereo/mono: stereo 
 • blister: áno</t>
        </is>
      </c>
    </row>
    <row r="1251">
      <c r="A1251" s="3" t="inlineStr">
        <is>
          <t>SK 2M</t>
        </is>
      </c>
      <c r="B1251" s="2" t="inlineStr">
        <is>
          <t>Jack vidlica, mono, kovová, 6,3mm</t>
        </is>
      </c>
      <c r="C1251" s="1" t="n">
        <v>0.99</v>
      </c>
      <c r="D1251" s="7" t="n">
        <f>HYPERLINK("https://www.somogyi.sk/product/jack-vidlica-mono-kovova-6-3mm-sk-2m-1861","https://www.somogyi.sk/product/jack-vidlica-mono-kovova-6-3mm-sk-2m-1861")</f>
        <v>0.0</v>
      </c>
      <c r="E1251" s="7" t="n">
        <f>HYPERLINK("https://www.somogyi.sk/data/img/product_main_images/small/01861.jpg","https://www.somogyi.sk/data/img/product_main_images/small/01861.jpg")</f>
        <v>0.0</v>
      </c>
      <c r="F1251" s="2" t="inlineStr">
        <is>
          <t>5998312704073</t>
        </is>
      </c>
      <c r="G1251" s="4" t="inlineStr">
        <is>
          <t xml:space="preserve"> • prípojka: Ø6,3 mm vidlica 
 • materiál krytu: kovová 
 • pozlátený: nie 
 • zapojenie: spájkovateľná 
 • stereo/mono: mono</t>
        </is>
      </c>
    </row>
    <row r="1252">
      <c r="A1252" s="3" t="inlineStr">
        <is>
          <t>SK 4K</t>
        </is>
      </c>
      <c r="B1252" s="2" t="inlineStr">
        <is>
          <t>Jack zásuvka, stereo, voľná, 3,5mm</t>
        </is>
      </c>
      <c r="C1252" s="1" t="n">
        <v>0.79</v>
      </c>
      <c r="D1252" s="7" t="n">
        <f>HYPERLINK("https://www.somogyi.sk/product/jack-zasuvka-stereo-volna-3-5mm-sk-4k-1868","https://www.somogyi.sk/product/jack-zasuvka-stereo-volna-3-5mm-sk-4k-1868")</f>
        <v>0.0</v>
      </c>
      <c r="E1252" s="7" t="n">
        <f>HYPERLINK("https://www.somogyi.sk/data/img/product_main_images/small/01868.jpg","https://www.somogyi.sk/data/img/product_main_images/small/01868.jpg")</f>
        <v>0.0</v>
      </c>
      <c r="F1252" s="2" t="inlineStr">
        <is>
          <t>5998312704141</t>
        </is>
      </c>
      <c r="G1252" s="4" t="inlineStr">
        <is>
          <t xml:space="preserve"> • prípojka: Ø3,5 mm zásuvka 
 • materiál krytu: plastová 
 • pozlátený: nie 
 • zapojenie: spájkovateľná 
 • stereo/mono: stereo</t>
        </is>
      </c>
    </row>
    <row r="1253">
      <c r="A1253" s="3" t="inlineStr">
        <is>
          <t>SK 4X</t>
        </is>
      </c>
      <c r="B1253" s="2" t="inlineStr">
        <is>
          <t>Jack vidlica, stereo, 3,5mm, blister</t>
        </is>
      </c>
      <c r="C1253" s="1" t="n">
        <v>1.29</v>
      </c>
      <c r="D1253" s="7" t="n">
        <f>HYPERLINK("https://www.somogyi.sk/product/jack-vidlica-stereo-3-5mm-blister-sk-4x-2227","https://www.somogyi.sk/product/jack-vidlica-stereo-3-5mm-blister-sk-4x-2227")</f>
        <v>0.0</v>
      </c>
      <c r="E1253" s="7" t="n">
        <f>HYPERLINK("https://www.somogyi.sk/data/img/product_main_images/small/02227.jpg","https://www.somogyi.sk/data/img/product_main_images/small/02227.jpg")</f>
        <v>0.0</v>
      </c>
      <c r="F1253" s="2" t="inlineStr">
        <is>
          <t>5998312724927</t>
        </is>
      </c>
      <c r="G1253" s="4" t="inlineStr">
        <is>
          <t xml:space="preserve"> • prípojka: Ø3,5 mm vidlica 
 • materiál krytu: plast 
 • pozlátený: nie 
 • zapojenie: spájkovateľná 
 • stereo/mono: stereo 
 • blister: áno</t>
        </is>
      </c>
    </row>
    <row r="1254">
      <c r="A1254" s="3" t="inlineStr">
        <is>
          <t>SK 3M</t>
        </is>
      </c>
      <c r="B1254" s="2" t="inlineStr">
        <is>
          <t>Jack vidlica, stereo, kovová, 6,3mm</t>
        </is>
      </c>
      <c r="C1254" s="1" t="n">
        <v>1.09</v>
      </c>
      <c r="D1254" s="7" t="n">
        <f>HYPERLINK("https://www.somogyi.sk/product/jack-vidlica-stereo-kovova-6-3mm-sk-3m-1865","https://www.somogyi.sk/product/jack-vidlica-stereo-kovova-6-3mm-sk-3m-1865")</f>
        <v>0.0</v>
      </c>
      <c r="E1254" s="7" t="n">
        <f>HYPERLINK("https://www.somogyi.sk/data/img/product_main_images/small/01865.jpg","https://www.somogyi.sk/data/img/product_main_images/small/01865.jpg")</f>
        <v>0.0</v>
      </c>
      <c r="F1254" s="2" t="inlineStr">
        <is>
          <t>5998312704110</t>
        </is>
      </c>
      <c r="G1254" s="4" t="inlineStr">
        <is>
          <t xml:space="preserve"> • prípojka: Ø6,3 mm vidlica 
 • materiál krytu: kovová 
 • pozlátený: nie 
 • zapojenie: spájkovateľná 
 • stereo/mono: stereo</t>
        </is>
      </c>
    </row>
    <row r="1255">
      <c r="A1255" s="3" t="inlineStr">
        <is>
          <t>SK 4</t>
        </is>
      </c>
      <c r="B1255" s="2" t="inlineStr">
        <is>
          <t>Jack vidlica, stereo, 3,5mm</t>
        </is>
      </c>
      <c r="C1255" s="1" t="n">
        <v>0.59</v>
      </c>
      <c r="D1255" s="7" t="n">
        <f>HYPERLINK("https://www.somogyi.sk/product/jack-vidlica-stereo-3-5mm-sk-4-1866","https://www.somogyi.sk/product/jack-vidlica-stereo-3-5mm-sk-4-1866")</f>
        <v>0.0</v>
      </c>
      <c r="E1255" s="7" t="n">
        <f>HYPERLINK("https://www.somogyi.sk/data/img/product_main_images/small/01866.jpg","https://www.somogyi.sk/data/img/product_main_images/small/01866.jpg")</f>
        <v>0.0</v>
      </c>
      <c r="F1255" s="2" t="inlineStr">
        <is>
          <t>5998312704127</t>
        </is>
      </c>
      <c r="G1255" s="4" t="inlineStr">
        <is>
          <t xml:space="preserve"> • prípojka: Ø3,5 mm vidlica 
 • materiál krytu: plastová 
 • pozlátený: nie 
 • zapojenie: spájkovateľná 
 • stereo/mono: stereo</t>
        </is>
      </c>
    </row>
    <row r="1256">
      <c r="A1256" s="3" t="inlineStr">
        <is>
          <t>RCA 11MF</t>
        </is>
      </c>
      <c r="B1256" s="2" t="inlineStr">
        <is>
          <t>RCA vidlica, kovová, pozlátená</t>
        </is>
      </c>
      <c r="C1256" s="1" t="n">
        <v>1.89</v>
      </c>
      <c r="D1256" s="7" t="n">
        <f>HYPERLINK("https://www.somogyi.sk/product/rca-vidlica-kovova-pozlatena-rca-11mf-2355","https://www.somogyi.sk/product/rca-vidlica-kovova-pozlatena-rca-11mf-2355")</f>
        <v>0.0</v>
      </c>
      <c r="E1256" s="7" t="n">
        <f>HYPERLINK("https://www.somogyi.sk/data/img/product_main_images/small/02355.jpg","https://www.somogyi.sk/data/img/product_main_images/small/02355.jpg")</f>
        <v>0.0</v>
      </c>
      <c r="F1256" s="2" t="inlineStr">
        <is>
          <t>5998312726600</t>
        </is>
      </c>
      <c r="G1256" s="4" t="inlineStr">
        <is>
          <t xml:space="preserve"> • prípojka: RCA vidlica 
 • materiál krytu: kovová 
 • pozlátený: áno 
 • zapojenie: spájkovateľná 
 • farba: 1 ks  biela, 1 ks červená</t>
        </is>
      </c>
    </row>
    <row r="1257">
      <c r="A1257" s="3" t="inlineStr">
        <is>
          <t>SK 4M</t>
        </is>
      </c>
      <c r="B1257" s="2" t="inlineStr">
        <is>
          <t>Jack vidlica, stereo, kovová, 3,5mm</t>
        </is>
      </c>
      <c r="C1257" s="1" t="n">
        <v>0.99</v>
      </c>
      <c r="D1257" s="7" t="n">
        <f>HYPERLINK("https://www.somogyi.sk/product/jack-vidlica-stereo-kovova-3-5mm-sk-4m-2005","https://www.somogyi.sk/product/jack-vidlica-stereo-kovova-3-5mm-sk-4m-2005")</f>
        <v>0.0</v>
      </c>
      <c r="E1257" s="7" t="n">
        <f>HYPERLINK("https://www.somogyi.sk/data/img/product_main_images/small/02005.jpg","https://www.somogyi.sk/data/img/product_main_images/small/02005.jpg")</f>
        <v>0.0</v>
      </c>
      <c r="F1257" s="2" t="inlineStr">
        <is>
          <t>5998312717417</t>
        </is>
      </c>
      <c r="G1257" s="4" t="inlineStr">
        <is>
          <t xml:space="preserve"> • prípojka: Ø3,5 mm vidlica 
 • materiál krytu: kovová 
 • pozlátený: nie 
 • zapojenie: spájkovateľná 
 • stereo/mono: stereo</t>
        </is>
      </c>
    </row>
    <row r="1258">
      <c r="A1258" s="6" t="inlineStr">
        <is>
          <t xml:space="preserve">   Audio-video doplnky / Audiokábel</t>
        </is>
      </c>
      <c r="B1258" s="6" t="inlineStr">
        <is>
          <t/>
        </is>
      </c>
      <c r="C1258" s="6" t="inlineStr">
        <is>
          <t/>
        </is>
      </c>
      <c r="D1258" s="6" t="inlineStr">
        <is>
          <t/>
        </is>
      </c>
      <c r="E1258" s="6" t="inlineStr">
        <is>
          <t/>
        </is>
      </c>
      <c r="F1258" s="6" t="inlineStr">
        <is>
          <t/>
        </is>
      </c>
      <c r="G1258" s="6" t="inlineStr">
        <is>
          <t/>
        </is>
      </c>
    </row>
    <row r="1259">
      <c r="A1259" s="3" t="inlineStr">
        <is>
          <t>KN 6</t>
        </is>
      </c>
      <c r="B1259" s="2" t="inlineStr">
        <is>
          <t>Tienený kábel, 2 žilový, plochý, 100m/kotúč</t>
        </is>
      </c>
      <c r="C1259" s="1" t="n">
        <v>0.69</v>
      </c>
      <c r="D1259" s="7" t="n">
        <f>HYPERLINK("https://www.somogyi.sk/product/tieneny-kabel-2-zilovy-plochy-100m-kotuc-kn-6-1802","https://www.somogyi.sk/product/tieneny-kabel-2-zilovy-plochy-100m-kotuc-kn-6-1802")</f>
        <v>0.0</v>
      </c>
      <c r="E1259" s="7" t="n">
        <f>HYPERLINK("https://www.somogyi.sk/data/img/product_main_images/small/01802.jpg","https://www.somogyi.sk/data/img/product_main_images/small/01802.jpg")</f>
        <v>0.0</v>
      </c>
      <c r="F1259" s="2" t="inlineStr">
        <is>
          <t>5998312702895</t>
        </is>
      </c>
      <c r="G1259" s="4" t="inlineStr">
        <is>
          <t xml:space="preserve"> • prierez kábla: 2 x 0,08 mm² 
 • štruktúra kábla: 2C x (10 x 0,1 mm) / 2 x (28 x 0,12 mm) tienený 
 • farba izolácie: čierna 
 • vonkajší priemer: 2,8 x 5,6 mm 
 • meter / kotúč: 100 m / kotúč</t>
        </is>
      </c>
    </row>
    <row r="1260">
      <c r="A1260" s="3" t="inlineStr">
        <is>
          <t>KN 4</t>
        </is>
      </c>
      <c r="B1260" s="2" t="inlineStr">
        <is>
          <t>Tienený kábel, 1 žilový, 100m/kotúč</t>
        </is>
      </c>
      <c r="C1260" s="1" t="n">
        <v>0.39</v>
      </c>
      <c r="D1260" s="7" t="n">
        <f>HYPERLINK("https://www.somogyi.sk/product/tieneny-kabel-1-zilovy-100m-kotuc-kn-4-1801","https://www.somogyi.sk/product/tieneny-kabel-1-zilovy-100m-kotuc-kn-4-1801")</f>
        <v>0.0</v>
      </c>
      <c r="E1260" s="7" t="n">
        <f>HYPERLINK("https://www.somogyi.sk/data/img/product_main_images/small/01801.jpg","https://www.somogyi.sk/data/img/product_main_images/small/01801.jpg")</f>
        <v>0.0</v>
      </c>
      <c r="F1260" s="2" t="inlineStr">
        <is>
          <t>5998312702888</t>
        </is>
      </c>
      <c r="G1260" s="4" t="inlineStr">
        <is>
          <t xml:space="preserve"> • prierez kábla: 0,14 mm² 
 • štruktúra kábla: 12 x 0,12 mm / 28 x 0,12 mm tienený 
 • farba izolácie: čierna 
 • vonkajší priemer: Ø2,8 mm 
 • meter / kotúč: 100 m / kotúč</t>
        </is>
      </c>
    </row>
    <row r="1261">
      <c r="A1261" s="3" t="inlineStr">
        <is>
          <t>MC 625/BK</t>
        </is>
      </c>
      <c r="B1261" s="2" t="inlineStr">
        <is>
          <t>Mikrofónový kábel, 2 žilový, tienený, 50m/kotúč</t>
        </is>
      </c>
      <c r="C1261" s="1" t="n">
        <v>1.69</v>
      </c>
      <c r="D1261" s="7" t="n">
        <f>HYPERLINK("https://www.somogyi.sk/product/mikrofonovy-kabel-2-zilovy-tieneny-50m-kotuc-mc-625-bk-2591","https://www.somogyi.sk/product/mikrofonovy-kabel-2-zilovy-tieneny-50m-kotuc-mc-625-bk-2591")</f>
        <v>0.0</v>
      </c>
      <c r="E1261" s="7" t="n">
        <f>HYPERLINK("https://www.somogyi.sk/data/img/product_main_images/small/02591.jpg","https://www.somogyi.sk/data/img/product_main_images/small/02591.jpg")</f>
        <v>0.0</v>
      </c>
      <c r="F1261" s="2" t="inlineStr">
        <is>
          <t>5998312729052</t>
        </is>
      </c>
      <c r="G1261" s="4" t="inlineStr">
        <is>
          <t xml:space="preserve"> • prierez kábla: 2 x 0,35 mm² 
 • štruktúra kábla: 2C x (31 x 0,12 mm) / (28 x 0,12 mm) textil + papier 
 • farba izolácie: čierna 
 • vonkajší priemer: Ø6,2 mm 
 • meter / kotúč: 50 m / kotúč</t>
        </is>
      </c>
    </row>
    <row r="1262">
      <c r="A1262" s="6" t="inlineStr">
        <is>
          <t xml:space="preserve">   Audio-video doplnky / Koaxiálny kábel</t>
        </is>
      </c>
      <c r="B1262" s="6" t="inlineStr">
        <is>
          <t/>
        </is>
      </c>
      <c r="C1262" s="6" t="inlineStr">
        <is>
          <t/>
        </is>
      </c>
      <c r="D1262" s="6" t="inlineStr">
        <is>
          <t/>
        </is>
      </c>
      <c r="E1262" s="6" t="inlineStr">
        <is>
          <t/>
        </is>
      </c>
      <c r="F1262" s="6" t="inlineStr">
        <is>
          <t/>
        </is>
      </c>
      <c r="G1262" s="6" t="inlineStr">
        <is>
          <t/>
        </is>
      </c>
    </row>
    <row r="1263">
      <c r="A1263" s="3" t="inlineStr">
        <is>
          <t>RG 6-32/BK</t>
        </is>
      </c>
      <c r="B1263" s="2" t="inlineStr">
        <is>
          <t>Koaxiálny kábel, 75 ohm, 100m/kotúč</t>
        </is>
      </c>
      <c r="C1263" s="1" t="n">
        <v>0.69</v>
      </c>
      <c r="D1263" s="7" t="n">
        <f>HYPERLINK("https://www.somogyi.sk/product/koaxialny-kabel-75-ohm-100m-kotuc-rg-6-32-bk-2330","https://www.somogyi.sk/product/koaxialny-kabel-75-ohm-100m-kotuc-rg-6-32-bk-2330")</f>
        <v>0.0</v>
      </c>
      <c r="E1263" s="7" t="n">
        <f>HYPERLINK("https://www.somogyi.sk/data/img/product_main_images/small/02330.jpg","https://www.somogyi.sk/data/img/product_main_images/small/02330.jpg")</f>
        <v>0.0</v>
      </c>
      <c r="F1263" s="2" t="inlineStr">
        <is>
          <t>5998312726181</t>
        </is>
      </c>
      <c r="G1263" s="4" t="inlineStr">
        <is>
          <t xml:space="preserve"> • štruktúra kábla: Ø6,5 mm PVC izolácia / Ø0,12 mm x 32 medené opletenie / hliník + PET fólia / Ø4,6 mm penová PE izolácia / Ø0,9 mm medená vnútorná žila 
 • impedancia: 75 Ω 
 • farba izolácie: čierna 
 • vonkajší priemer: Ø6,5 mm 
 • meter / kotúč: 100 m / kotúč</t>
        </is>
      </c>
    </row>
    <row r="1264">
      <c r="A1264" s="3" t="inlineStr">
        <is>
          <t>S 6TSV/BK</t>
        </is>
      </c>
      <c r="B1264" s="2" t="inlineStr">
        <is>
          <t>Koaxiálny kábel, 75 ohm, 305m/kotúč</t>
        </is>
      </c>
      <c r="C1264" s="1" t="n">
        <v>93.19</v>
      </c>
      <c r="D1264" s="7" t="n">
        <f>HYPERLINK("https://www.somogyi.sk/product/koaxialny-kabel-75-ohm-305m-kotuc-s-6tsv-bk-2879","https://www.somogyi.sk/product/koaxialny-kabel-75-ohm-305m-kotuc-s-6tsv-bk-2879")</f>
        <v>0.0</v>
      </c>
      <c r="E1264" s="7" t="n">
        <f>HYPERLINK("https://www.somogyi.sk/data/img/product_main_images/small/02879.jpg","https://www.somogyi.sk/data/img/product_main_images/small/02879.jpg")</f>
        <v>0.0</v>
      </c>
      <c r="F1264" s="2" t="inlineStr">
        <is>
          <t>5998312732038</t>
        </is>
      </c>
      <c r="G1264" s="4" t="inlineStr">
        <is>
          <t xml:space="preserve"> • štruktúra kábla: Ø7,06 mm PVC izolácia / hliník + PET fólia / Ø0,12 mm x 80 hliníkové opletenie / hliník + PET fólia / Ø4,6 mm penová PE izolácia / Ø1,02 mm pomedená, oceľová vnútorná žila 
 • impedancia: 75 Ω 
 • farba izolácie: čierna 
 • vonkajší priemer: Ø7,06 mm 
 • meter / kotúč: 305 m / kotúč</t>
        </is>
      </c>
    </row>
    <row r="1265">
      <c r="A1265" s="3" t="inlineStr">
        <is>
          <t>RG 58</t>
        </is>
      </c>
      <c r="B1265" s="2" t="inlineStr">
        <is>
          <t>Koaxiálny kábel, 50 ohm, 100m/kotúč</t>
        </is>
      </c>
      <c r="C1265" s="1" t="n">
        <v>0.99</v>
      </c>
      <c r="D1265" s="7" t="n">
        <f>HYPERLINK("https://www.somogyi.sk/product/koaxialny-kabel-50-ohm-100m-kotuc-rg-58-1820","https://www.somogyi.sk/product/koaxialny-kabel-50-ohm-100m-kotuc-rg-58-1820")</f>
        <v>0.0</v>
      </c>
      <c r="E1265" s="7" t="n">
        <f>HYPERLINK("https://www.somogyi.sk/data/img/product_main_images/small/01820.jpg","https://www.somogyi.sk/data/img/product_main_images/small/01820.jpg")</f>
        <v>0.0</v>
      </c>
      <c r="F1265" s="2" t="inlineStr">
        <is>
          <t>5998312703410</t>
        </is>
      </c>
      <c r="G1265" s="4" t="inlineStr">
        <is>
          <t xml:space="preserve"> • štruktúra kábla: Ø5 mm PVC izolácia / Ø0,12 mm x 96 medené opletenie / Ø2,95 mm penová PE izolácia / Ø0,18 mm x 19 medená vnútorná žila 
 • impedancia: 50 Ω 
 • farba izolácie: čierna 
 • vonkajší priemer: Ø5 mm 
 • meter / kotúč: 100 m / kotúč</t>
        </is>
      </c>
    </row>
    <row r="1266">
      <c r="A1266" s="3" t="inlineStr">
        <is>
          <t>RG 6U/WH</t>
        </is>
      </c>
      <c r="B1266" s="2" t="inlineStr">
        <is>
          <t>Koaxiálny kábel, 75 ohm, 100m/kotúč</t>
        </is>
      </c>
      <c r="C1266" s="1" t="n">
        <v>0.29</v>
      </c>
      <c r="D1266" s="7" t="n">
        <f>HYPERLINK("https://www.somogyi.sk/product/koaxialny-kabel-75-ohm-100m-kotuc-rg-6u-wh-3006","https://www.somogyi.sk/product/koaxialny-kabel-75-ohm-100m-kotuc-rg-6u-wh-3006")</f>
        <v>0.0</v>
      </c>
      <c r="E1266" s="7" t="n">
        <f>HYPERLINK("https://www.somogyi.sk/data/img/product_main_images/small/03006.jpg","https://www.somogyi.sk/data/img/product_main_images/small/03006.jpg")</f>
        <v>0.0</v>
      </c>
      <c r="F1266" s="2" t="inlineStr">
        <is>
          <t>5998312733301</t>
        </is>
      </c>
      <c r="G1266" s="4" t="inlineStr">
        <is>
          <t xml:space="preserve"> • štruktúra kábla: Ø6,9 mm PVC izolácia / Ø0,12 mm x 48 hliníkové opletenie / hliník + PET fólia / Ø4,6 mm penová PE izolácia / Ø1 mm pomedená, oceľová vnútorná žila 
 • impedancia: 75 Ω 
 • farba izolácie: biela 
 • vonkajší priemer: Ø6,9 mm 
 • meter / kotúč: 100 m / kotúč</t>
        </is>
      </c>
    </row>
    <row r="1267">
      <c r="A1267" s="3" t="inlineStr">
        <is>
          <t>RG 6-32/WH</t>
        </is>
      </c>
      <c r="B1267" s="2" t="inlineStr">
        <is>
          <t>Koaxiálny kábel, 75 ohm, 100m/kotúč</t>
        </is>
      </c>
      <c r="C1267" s="1" t="n">
        <v>0.69</v>
      </c>
      <c r="D1267" s="7" t="n">
        <f>HYPERLINK("https://www.somogyi.sk/product/koaxialny-kabel-75-ohm-100m-kotuc-rg-6-32-wh-2329","https://www.somogyi.sk/product/koaxialny-kabel-75-ohm-100m-kotuc-rg-6-32-wh-2329")</f>
        <v>0.0</v>
      </c>
      <c r="E1267" s="7" t="n">
        <f>HYPERLINK("https://www.somogyi.sk/data/img/product_main_images/small/02329.jpg","https://www.somogyi.sk/data/img/product_main_images/small/02329.jpg")</f>
        <v>0.0</v>
      </c>
      <c r="F1267" s="2" t="inlineStr">
        <is>
          <t>5998312726167</t>
        </is>
      </c>
      <c r="G1267" s="4" t="inlineStr">
        <is>
          <t xml:space="preserve"> • štruktúra kábla: Ø6,5 mm PVC izolácia / Ø0,12 mm x 32 medené opletenie / hliník + PET fólia / Ø4,6 mm penová PE izolácia / Ø0,9 mm medená vnútorná žila 
 • impedancia: 75 Ω 
 • farba izolácie: biela 
 • vonkajší priemer: Ø6,5 mm 
 • meter / kotúč: 100 m / kotúč</t>
        </is>
      </c>
    </row>
    <row r="1268">
      <c r="A1268" s="3" t="inlineStr">
        <is>
          <t>RG 6U-500/WH</t>
        </is>
      </c>
      <c r="B1268" s="2" t="inlineStr">
        <is>
          <t>Koaxiálny kábel, 75 ohm, 500m/kotúč</t>
        </is>
      </c>
      <c r="C1268" s="1" t="n">
        <v>134.9</v>
      </c>
      <c r="D1268" s="7" t="n">
        <f>HYPERLINK("https://www.somogyi.sk/product/koaxialny-kabel-75-ohm-500m-kotuc-rg-6u-500-wh-4220","https://www.somogyi.sk/product/koaxialny-kabel-75-ohm-500m-kotuc-rg-6u-500-wh-4220")</f>
        <v>0.0</v>
      </c>
      <c r="E1268" s="7" t="n">
        <f>HYPERLINK("https://www.somogyi.sk/data/img/product_main_images/small/04220.jpg","https://www.somogyi.sk/data/img/product_main_images/small/04220.jpg")</f>
        <v>0.0</v>
      </c>
      <c r="F1268" s="2" t="inlineStr">
        <is>
          <t>5998312737378</t>
        </is>
      </c>
      <c r="G1268" s="4" t="inlineStr">
        <is>
          <t xml:space="preserve"> • štruktúra kábla: Ø6,9 mm PVC izolácia / Ø0,12 mm x 48 hliníkové opletenie / hliník + PET fólia / Ø4,6 mm penová PE izolácia / Ø1 mm pomedená, oceľová vnútorná žila 
 • impedancia: 75 Ω 
 • farba izolácie: biela 
 • vonkajší priemer: Ø6,9 mm 
 • meter / kotúč: 500 m / kotúč</t>
        </is>
      </c>
    </row>
    <row r="1269">
      <c r="A1269" s="3" t="inlineStr">
        <is>
          <t>S 6TSV/WH</t>
        </is>
      </c>
      <c r="B1269" s="2" t="inlineStr">
        <is>
          <t>Koaxiálny kábel, 75 ohm, 305m/kotúč</t>
        </is>
      </c>
      <c r="C1269" s="1" t="n">
        <v>93.19</v>
      </c>
      <c r="D1269" s="7" t="n">
        <f>HYPERLINK("https://www.somogyi.sk/product/koaxialny-kabel-75-ohm-305m-kotuc-s-6tsv-wh-3115","https://www.somogyi.sk/product/koaxialny-kabel-75-ohm-305m-kotuc-s-6tsv-wh-3115")</f>
        <v>0.0</v>
      </c>
      <c r="E1269" s="7" t="n">
        <f>HYPERLINK("https://www.somogyi.sk/data/img/product_main_images/small/03115.jpg","https://www.somogyi.sk/data/img/product_main_images/small/03115.jpg")</f>
        <v>0.0</v>
      </c>
      <c r="F1269" s="2" t="inlineStr">
        <is>
          <t>5998312734391</t>
        </is>
      </c>
      <c r="G1269" s="4" t="inlineStr">
        <is>
          <t xml:space="preserve"> • štruktúra kábla: Ø7,06 mm PVC izolácia / hliník + PET fólia / Ø0,12 mm x 80 hliníkové opletenie / hliník + PET fólia / Ø4,6 mm penová PE izolácia / Ø1,02 mm pomedená, oceľová vnútorná žila 
 • impedancia: 75 Ω 
 • farba izolácie: biela 
 • vonkajší priemer: Ø7,06 mm 
 • meter / kotúč: 305 m / kotúč</t>
        </is>
      </c>
    </row>
    <row r="1270">
      <c r="A1270" s="3" t="inlineStr">
        <is>
          <t>S 6TSP/WH</t>
        </is>
      </c>
      <c r="B1270" s="2" t="inlineStr">
        <is>
          <t>Koaxiálny kábel, 75 ohm, 100m/kotúč</t>
        </is>
      </c>
      <c r="C1270" s="1" t="n">
        <v>33.79</v>
      </c>
      <c r="D1270" s="7" t="n">
        <f>HYPERLINK("https://www.somogyi.sk/product/koaxialny-kabel-75-ohm-100m-kotuc-s-6tsp-wh-11827","https://www.somogyi.sk/product/koaxialny-kabel-75-ohm-100m-kotuc-s-6tsp-wh-11827")</f>
        <v>0.0</v>
      </c>
      <c r="E1270" s="7" t="n">
        <f>HYPERLINK("https://www.somogyi.sk/data/img/product_main_images/small/11827.jpg","https://www.somogyi.sk/data/img/product_main_images/small/11827.jpg")</f>
        <v>0.0</v>
      </c>
      <c r="F1270" s="2" t="inlineStr">
        <is>
          <t>5999084900397</t>
        </is>
      </c>
      <c r="G1270" s="4" t="inlineStr">
        <is>
          <t xml:space="preserve"> • štruktúra kábla: Ø7,06 mm PVC izolácia / hliník + PET fólia / Ø0,12 mm x 80 hliníkové opletenie / hliník + PET fólia / Ø4,6 mm penová PE izolácia / Ø1,02 mm pomedená, oceľová vnútorná žila 
 • impedancia: 75 Ω 
 • farba izolácie: biela 
 • vonkajší priemer: Ø7,06 mm 
 • meter / kotúč: 100 m / kotúč</t>
        </is>
      </c>
    </row>
    <row r="1271">
      <c r="A1271" s="6" t="inlineStr">
        <is>
          <t xml:space="preserve">   Audio-video doplnky / Koaxiálna prípojka /rozbočovač, f prípojka</t>
        </is>
      </c>
      <c r="B1271" s="6" t="inlineStr">
        <is>
          <t/>
        </is>
      </c>
      <c r="C1271" s="6" t="inlineStr">
        <is>
          <t/>
        </is>
      </c>
      <c r="D1271" s="6" t="inlineStr">
        <is>
          <t/>
        </is>
      </c>
      <c r="E1271" s="6" t="inlineStr">
        <is>
          <t/>
        </is>
      </c>
      <c r="F1271" s="6" t="inlineStr">
        <is>
          <t/>
        </is>
      </c>
      <c r="G1271" s="6" t="inlineStr">
        <is>
          <t/>
        </is>
      </c>
    </row>
    <row r="1272">
      <c r="A1272" s="3" t="inlineStr">
        <is>
          <t>FS 1X</t>
        </is>
      </c>
      <c r="B1272" s="2" t="inlineStr">
        <is>
          <t>Koaxiálna vidlica, lomená, blister</t>
        </is>
      </c>
      <c r="C1272" s="1" t="n">
        <v>0.99</v>
      </c>
      <c r="D1272" s="7" t="n">
        <f>HYPERLINK("https://www.somogyi.sk/product/koaxialna-vidlica-lomena-blister-fs-1x-2193","https://www.somogyi.sk/product/koaxialna-vidlica-lomena-blister-fs-1x-2193")</f>
        <v>0.0</v>
      </c>
      <c r="E1272" s="7" t="n">
        <f>HYPERLINK("https://www.somogyi.sk/data/img/product_main_images/small/02193.jpg","https://www.somogyi.sk/data/img/product_main_images/small/02193.jpg")</f>
        <v>0.0</v>
      </c>
      <c r="F1272" s="2" t="inlineStr">
        <is>
          <t>5998312724583</t>
        </is>
      </c>
      <c r="G1272" s="4" t="inlineStr">
        <is>
          <t xml:space="preserve"> • prípojky: koaxiálna lomená vidlica 
 • materiál krytu: plastová 
 • zapojenie: skrutkovateľná 
 • blister: áno</t>
        </is>
      </c>
    </row>
    <row r="1273">
      <c r="A1273" s="3" t="inlineStr">
        <is>
          <t>FF 18X</t>
        </is>
      </c>
      <c r="B1273" s="2" t="inlineStr">
        <is>
          <t>Koaxiálna vidlica, F zásuvka, blister</t>
        </is>
      </c>
      <c r="C1273" s="1" t="n">
        <v>1.49</v>
      </c>
      <c r="D1273" s="7" t="n">
        <f>HYPERLINK("https://www.somogyi.sk/product/koaxialna-vidlica-f-zasuvka-blister-ff-18x-2183","https://www.somogyi.sk/product/koaxialna-vidlica-f-zasuvka-blister-ff-18x-2183")</f>
        <v>0.0</v>
      </c>
      <c r="E1273" s="7" t="n">
        <f>HYPERLINK("https://www.somogyi.sk/data/img/product_main_images/small/02183.jpg","https://www.somogyi.sk/data/img/product_main_images/small/02183.jpg")</f>
        <v>0.0</v>
      </c>
      <c r="F1273" s="2" t="inlineStr">
        <is>
          <t>5998312724484</t>
        </is>
      </c>
      <c r="G1273" s="4" t="inlineStr">
        <is>
          <t xml:space="preserve"> • prípojky: koaxiálna vidlica / F zásuvka 
 • materiál krytu: kovová 
 • blister: áno</t>
        </is>
      </c>
    </row>
    <row r="1274">
      <c r="A1274" s="3" t="inlineStr">
        <is>
          <t>FF 1X</t>
        </is>
      </c>
      <c r="B1274" s="2" t="inlineStr">
        <is>
          <t>F vidlica, ku káblu RG 6, blister</t>
        </is>
      </c>
      <c r="C1274" s="1" t="n">
        <v>0.69</v>
      </c>
      <c r="D1274" s="7" t="n">
        <f>HYPERLINK("https://www.somogyi.sk/product/f-vidlica-ku-kablu-rg-6-blister-ff-1x-2177","https://www.somogyi.sk/product/f-vidlica-ku-kablu-rg-6-blister-ff-1x-2177")</f>
        <v>0.0</v>
      </c>
      <c r="E1274" s="7" t="n">
        <f>HYPERLINK("https://www.somogyi.sk/data/img/product_main_images/small/02177.jpg","https://www.somogyi.sk/data/img/product_main_images/small/02177.jpg")</f>
        <v>0.0</v>
      </c>
      <c r="F1274" s="2" t="inlineStr">
        <is>
          <t>5998312724422</t>
        </is>
      </c>
      <c r="G1274" s="4" t="inlineStr">
        <is>
          <t xml:space="preserve"> • prípojky: F vidlica 
 • materiál krytu: kovová 
 • zapojenie: skrutkovateľná (ku RG 6) 
 • blister: áno</t>
        </is>
      </c>
    </row>
    <row r="1275">
      <c r="A1275" s="3" t="inlineStr">
        <is>
          <t>FST 1X</t>
        </is>
      </c>
      <c r="B1275" s="2" t="inlineStr">
        <is>
          <t>Koaxiálna vidlica, kovová, skrutkovateľná na Koaxiálna, blister</t>
        </is>
      </c>
      <c r="C1275" s="1" t="n">
        <v>1.59</v>
      </c>
      <c r="D1275" s="7" t="n">
        <f>HYPERLINK("https://www.somogyi.sk/product/koaxialna-vidlica-kovova-skrutkovatelna-na-koaxialna-blister-fst-1x-2784","https://www.somogyi.sk/product/koaxialna-vidlica-kovova-skrutkovatelna-na-koaxialna-blister-fst-1x-2784")</f>
        <v>0.0</v>
      </c>
      <c r="E1275" s="7" t="n">
        <f>HYPERLINK("https://www.somogyi.sk/data/img/product_main_images/small/02784.jpg","https://www.somogyi.sk/data/img/product_main_images/small/02784.jpg")</f>
        <v>0.0</v>
      </c>
      <c r="F1275" s="2" t="inlineStr">
        <is>
          <t>5998312731086</t>
        </is>
      </c>
      <c r="G1275" s="4" t="inlineStr">
        <is>
          <t xml:space="preserve"> • prípojky: koaxiálna zásuvka 
 • materiál krytu: kovová 
 • zapojenie: skrutkovateľná na kábel RG 6 
 • blister: áno</t>
        </is>
      </c>
    </row>
    <row r="1276">
      <c r="A1276" s="3" t="inlineStr">
        <is>
          <t>FS 14X</t>
        </is>
      </c>
      <c r="B1276" s="2" t="inlineStr">
        <is>
          <t>Koaxiálna vidlica, kovová, blister</t>
        </is>
      </c>
      <c r="C1276" s="1" t="n">
        <v>1.29</v>
      </c>
      <c r="D1276" s="7" t="n">
        <f>HYPERLINK("https://www.somogyi.sk/product/koaxialna-vidlica-kovova-blister-fs-14x-2195","https://www.somogyi.sk/product/koaxialna-vidlica-kovova-blister-fs-14x-2195")</f>
        <v>0.0</v>
      </c>
      <c r="E1276" s="7" t="n">
        <f>HYPERLINK("https://www.somogyi.sk/data/img/product_main_images/small/02195.jpg","https://www.somogyi.sk/data/img/product_main_images/small/02195.jpg")</f>
        <v>0.0</v>
      </c>
      <c r="F1276" s="2" t="inlineStr">
        <is>
          <t>5998312724606</t>
        </is>
      </c>
      <c r="G1276" s="4" t="inlineStr">
        <is>
          <t xml:space="preserve"> • prípojky: koaxiálna vidlica 
 • materiál krytu: kovová 
 • zapojenie: skrutkovateľná 
 • blister: áno</t>
        </is>
      </c>
    </row>
    <row r="1277">
      <c r="A1277" s="3" t="inlineStr">
        <is>
          <t>FS 28</t>
        </is>
      </c>
      <c r="B1277" s="2" t="inlineStr">
        <is>
          <t>Koaxiálny rozbočovač, 1 vidlica-2 zásuvka, kovová</t>
        </is>
      </c>
      <c r="C1277" s="1" t="n">
        <v>1.89</v>
      </c>
      <c r="D1277" s="7" t="n">
        <f>HYPERLINK("https://www.somogyi.sk/product/koaxialny-rozbocovac-1-vidlica-2-zasuvka-kovova-fs-28-1780","https://www.somogyi.sk/product/koaxialny-rozbocovac-1-vidlica-2-zasuvka-kovova-fs-28-1780")</f>
        <v>0.0</v>
      </c>
      <c r="E1277" s="7" t="n">
        <f>HYPERLINK("https://www.somogyi.sk/data/img/product_main_images/small/01780.jpg","https://www.somogyi.sk/data/img/product_main_images/small/01780.jpg")</f>
        <v>0.0</v>
      </c>
      <c r="F1277" s="2" t="inlineStr">
        <is>
          <t>5998312702420</t>
        </is>
      </c>
      <c r="G1277" s="4" t="inlineStr">
        <is>
          <t xml:space="preserve"> • prípojky: koaxiálna vidlica / 2 x koaxiálna zásuvka 
 • materiál krytu: kovová</t>
        </is>
      </c>
    </row>
    <row r="1278">
      <c r="A1278" s="3" t="inlineStr">
        <is>
          <t>FF 15</t>
        </is>
      </c>
      <c r="B1278" s="2" t="inlineStr">
        <is>
          <t>F vidlica - F zásuvka</t>
        </is>
      </c>
      <c r="C1278" s="1" t="n">
        <v>1.49</v>
      </c>
      <c r="D1278" s="7" t="n">
        <f>HYPERLINK("https://www.somogyi.sk/product/f-vidlica-f-zasuvka-ff-15-1762","https://www.somogyi.sk/product/f-vidlica-f-zasuvka-ff-15-1762")</f>
        <v>0.0</v>
      </c>
      <c r="E1278" s="7" t="n">
        <f>HYPERLINK("https://www.somogyi.sk/data/img/product_main_images/small/01762.jpg","https://www.somogyi.sk/data/img/product_main_images/small/01762.jpg")</f>
        <v>0.0</v>
      </c>
      <c r="F1278" s="2" t="inlineStr">
        <is>
          <t>5998312702185</t>
        </is>
      </c>
      <c r="G1278" s="4" t="inlineStr">
        <is>
          <t xml:space="preserve"> • prípojky: F spojka, lomená (vidlica / zásuvka) 
 • materiál krytu: kovová</t>
        </is>
      </c>
    </row>
    <row r="1279">
      <c r="A1279" s="3" t="inlineStr">
        <is>
          <t>FS 15</t>
        </is>
      </c>
      <c r="B1279" s="2" t="inlineStr">
        <is>
          <t>Koaxiálna zásuvka, kovová</t>
        </is>
      </c>
      <c r="C1279" s="1" t="n">
        <v>1.09</v>
      </c>
      <c r="D1279" s="7" t="n">
        <f>HYPERLINK("https://www.somogyi.sk/product/koaxialna-zasuvka-kovova-fs-15-1773","https://www.somogyi.sk/product/koaxialna-zasuvka-kovova-fs-15-1773")</f>
        <v>0.0</v>
      </c>
      <c r="E1279" s="7" t="n">
        <f>HYPERLINK("https://www.somogyi.sk/data/img/product_main_images/small/01773.jpg","https://www.somogyi.sk/data/img/product_main_images/small/01773.jpg")</f>
        <v>0.0</v>
      </c>
      <c r="F1279" s="2" t="inlineStr">
        <is>
          <t>5998312702352</t>
        </is>
      </c>
      <c r="G1279" s="4" t="inlineStr">
        <is>
          <t xml:space="preserve"> • prípojky: koaxiálna zásuvka 
 • materiál krytu: kovová 
 • zapojenie: skrutkovateľná</t>
        </is>
      </c>
    </row>
    <row r="1280">
      <c r="A1280" s="3" t="inlineStr">
        <is>
          <t>F 803C</t>
        </is>
      </c>
      <c r="B1280" s="2" t="inlineStr">
        <is>
          <t>F vidlica, lisovacia</t>
        </is>
      </c>
      <c r="C1280" s="1" t="n">
        <v>0.49</v>
      </c>
      <c r="D1280" s="7" t="n">
        <f>HYPERLINK("https://www.somogyi.sk/product/f-vidlica-lisovacia-f-803c-2992","https://www.somogyi.sk/product/f-vidlica-lisovacia-f-803c-2992")</f>
        <v>0.0</v>
      </c>
      <c r="E1280" s="7" t="n">
        <f>HYPERLINK("https://www.somogyi.sk/data/img/product_main_images/small/02992.jpg","https://www.somogyi.sk/data/img/product_main_images/small/02992.jpg")</f>
        <v>0.0</v>
      </c>
      <c r="F1280" s="2" t="inlineStr">
        <is>
          <t>5998312733165</t>
        </is>
      </c>
      <c r="G1280" s="4" t="inlineStr">
        <is>
          <t xml:space="preserve"> • prípojky: F vidlica 
 • materiál krytu: kovová 
 • zapojenie: na lisovanie (ku káblom S 6TSV)</t>
        </is>
      </c>
    </row>
    <row r="1281">
      <c r="A1281" s="3" t="inlineStr">
        <is>
          <t>FS 1</t>
        </is>
      </c>
      <c r="B1281" s="2" t="inlineStr">
        <is>
          <t>Koaxiálna vidlica, uhlová</t>
        </is>
      </c>
      <c r="C1281" s="1" t="n">
        <v>0.39</v>
      </c>
      <c r="D1281" s="7" t="n">
        <f>HYPERLINK("https://www.somogyi.sk/product/koaxialna-vidlica-uhlova-fs-1-1771","https://www.somogyi.sk/product/koaxialna-vidlica-uhlova-fs-1-1771")</f>
        <v>0.0</v>
      </c>
      <c r="E1281" s="7" t="n">
        <f>HYPERLINK("https://www.somogyi.sk/data/img/product_main_images/small/01771.jpg","https://www.somogyi.sk/data/img/product_main_images/small/01771.jpg")</f>
        <v>0.0</v>
      </c>
      <c r="F1281" s="2" t="inlineStr">
        <is>
          <t>5998312702338</t>
        </is>
      </c>
      <c r="G1281" s="4" t="inlineStr">
        <is>
          <t xml:space="preserve"> • prípojky: koaxiálna vidlica, lomená 
 • materiál krytu: plastová 
 • zapojenie: skrutkovateľná</t>
        </is>
      </c>
    </row>
    <row r="1282">
      <c r="A1282" s="3" t="inlineStr">
        <is>
          <t>FF 1</t>
        </is>
      </c>
      <c r="B1282" s="2" t="inlineStr">
        <is>
          <t>F vidlica, ku káblu RG 6</t>
        </is>
      </c>
      <c r="C1282" s="1" t="n">
        <v>0.29</v>
      </c>
      <c r="D1282" s="7" t="n">
        <f>HYPERLINK("https://www.somogyi.sk/product/f-vidlica-ku-kablu-rg-6-ff-1-1980","https://www.somogyi.sk/product/f-vidlica-ku-kablu-rg-6-ff-1-1980")</f>
        <v>0.0</v>
      </c>
      <c r="E1282" s="7" t="n">
        <f>HYPERLINK("https://www.somogyi.sk/data/img/product_main_images/small/01980.jpg","https://www.somogyi.sk/data/img/product_main_images/small/01980.jpg")</f>
        <v>0.0</v>
      </c>
      <c r="F1282" s="2" t="inlineStr">
        <is>
          <t>5998312711774</t>
        </is>
      </c>
      <c r="G1282" s="4" t="inlineStr">
        <is>
          <t xml:space="preserve"> • prípojky: F vidlica 
 • materiál krytu: kovová 
 • zapojenie: ku káblu RG 6</t>
        </is>
      </c>
    </row>
    <row r="1283">
      <c r="A1283" s="3" t="inlineStr">
        <is>
          <t>FS 27X</t>
        </is>
      </c>
      <c r="B1283" s="2" t="inlineStr">
        <is>
          <t>Koaxiálny rozbočovač, 1 zásuvka-2 vidlice, kovová, blister</t>
        </is>
      </c>
      <c r="C1283" s="1" t="n">
        <v>2.09</v>
      </c>
      <c r="D1283" s="7" t="n">
        <f>HYPERLINK("https://www.somogyi.sk/product/koaxialny-rozbocovac-1-zasuvka-2-vidlice-kovova-blister-fs-27x-2204","https://www.somogyi.sk/product/koaxialny-rozbocovac-1-zasuvka-2-vidlice-kovova-blister-fs-27x-2204")</f>
        <v>0.0</v>
      </c>
      <c r="E1283" s="7" t="n">
        <f>HYPERLINK("https://www.somogyi.sk/data/img/product_main_images/small/02204.jpg","https://www.somogyi.sk/data/img/product_main_images/small/02204.jpg")</f>
        <v>0.0</v>
      </c>
      <c r="F1283" s="2" t="inlineStr">
        <is>
          <t>5998312724699</t>
        </is>
      </c>
      <c r="G1283" s="4" t="inlineStr">
        <is>
          <t xml:space="preserve"> • prípojky: 2 x koaxiálna vidlica / koaxiálna zásuvka 
 • materiál krytu: kovová 
 • blister: áno</t>
        </is>
      </c>
    </row>
    <row r="1284">
      <c r="A1284" s="3" t="inlineStr">
        <is>
          <t>FF 1/PRO</t>
        </is>
      </c>
      <c r="B1284" s="2" t="inlineStr">
        <is>
          <t>F vidlica, ku káblu RG 6</t>
        </is>
      </c>
      <c r="C1284" s="1" t="n">
        <v>0.49</v>
      </c>
      <c r="D1284" s="7" t="n">
        <f>HYPERLINK("https://www.somogyi.sk/product/f-vidlica-ku-kablu-rg-6-ff-1-pro-7434","https://www.somogyi.sk/product/f-vidlica-ku-kablu-rg-6-ff-1-pro-7434")</f>
        <v>0.0</v>
      </c>
      <c r="E1284" s="7" t="n">
        <f>HYPERLINK("https://www.somogyi.sk/data/img/product_main_images/small/07434.jpg","https://www.somogyi.sk/data/img/product_main_images/small/07434.jpg")</f>
        <v>0.0</v>
      </c>
      <c r="F1284" s="2" t="inlineStr">
        <is>
          <t>5998312764220</t>
        </is>
      </c>
      <c r="G1284" s="4" t="inlineStr">
        <is>
          <t xml:space="preserve"> • prípojky: F vidlica 
 • materiál krytu: kovová 
 • zapojenie: ku káblu RG 6</t>
        </is>
      </c>
    </row>
    <row r="1285">
      <c r="A1285" s="3" t="inlineStr">
        <is>
          <t>TSX 1913</t>
        </is>
      </c>
      <c r="B1285" s="2" t="inlineStr">
        <is>
          <t>4-pásmový F rozbočovač, HQ</t>
        </is>
      </c>
      <c r="C1285" s="1" t="n">
        <v>6.59</v>
      </c>
      <c r="D1285" s="7" t="n">
        <f>HYPERLINK("https://www.somogyi.sk/product/4-pasmovy-f-rozbocovac-hq-tsx-1913-17977","https://www.somogyi.sk/product/4-pasmovy-f-rozbocovac-hq-tsx-1913-17977")</f>
        <v>0.0</v>
      </c>
      <c r="E1285" s="7" t="n">
        <f>HYPERLINK("https://www.somogyi.sk/data/img/product_main_images/small/17977.jpg","https://www.somogyi.sk/data/img/product_main_images/small/17977.jpg")</f>
        <v>0.0</v>
      </c>
      <c r="F1285" s="2" t="inlineStr">
        <is>
          <t>5999084959999</t>
        </is>
      </c>
      <c r="G1285" s="4" t="inlineStr">
        <is>
          <t xml:space="preserve"> • prípojky: "F" vstup / 4 x "F" výstup 
 • materiál krytu: kovový 
 • frekvenčné pásmo: 5-2400 MHz</t>
        </is>
      </c>
    </row>
    <row r="1286">
      <c r="A1286" s="3" t="inlineStr">
        <is>
          <t>FS 15X</t>
        </is>
      </c>
      <c r="B1286" s="2" t="inlineStr">
        <is>
          <t>Koaxiálna zásuvka, kovová, blister</t>
        </is>
      </c>
      <c r="C1286" s="1" t="n">
        <v>1.29</v>
      </c>
      <c r="D1286" s="7" t="n">
        <f>HYPERLINK("https://www.somogyi.sk/product/koaxialna-zasuvka-kovova-blister-fs-15x-2196","https://www.somogyi.sk/product/koaxialna-zasuvka-kovova-blister-fs-15x-2196")</f>
        <v>0.0</v>
      </c>
      <c r="E1286" s="7" t="n">
        <f>HYPERLINK("https://www.somogyi.sk/data/img/product_main_images/small/02196.jpg","https://www.somogyi.sk/data/img/product_main_images/small/02196.jpg")</f>
        <v>0.0</v>
      </c>
      <c r="F1286" s="2" t="inlineStr">
        <is>
          <t>5998312724613</t>
        </is>
      </c>
      <c r="G1286" s="4" t="inlineStr">
        <is>
          <t xml:space="preserve"> • prípojky: koaxiálna zásuvka 
 • materiál krytu: kovová 
 • zapojenie: skrutkovateľná 
 • blister: áno</t>
        </is>
      </c>
    </row>
    <row r="1287">
      <c r="A1287" s="3" t="inlineStr">
        <is>
          <t>TSX 1910</t>
        </is>
      </c>
      <c r="B1287" s="2" t="inlineStr">
        <is>
          <t>2-pásmový F rozbočovač, HQ</t>
        </is>
      </c>
      <c r="C1287" s="1" t="n">
        <v>4.69</v>
      </c>
      <c r="D1287" s="7" t="n">
        <f>HYPERLINK("https://www.somogyi.sk/product/2-pasmovy-f-rozbocovac-hq-tsx-1910-17975","https://www.somogyi.sk/product/2-pasmovy-f-rozbocovac-hq-tsx-1910-17975")</f>
        <v>0.0</v>
      </c>
      <c r="E1287" s="7" t="n">
        <f>HYPERLINK("https://www.somogyi.sk/data/img/product_main_images/small/17975.jpg","https://www.somogyi.sk/data/img/product_main_images/small/17975.jpg")</f>
        <v>0.0</v>
      </c>
      <c r="F1287" s="2" t="inlineStr">
        <is>
          <t>5999084959975</t>
        </is>
      </c>
      <c r="G1287" s="4" t="inlineStr">
        <is>
          <t xml:space="preserve"> • prípojky: "F" vstup / 2 x "F" výstup 
 • materiál krytu: kovový 
 • frekvenčné pásmo: 5-2400 MHz</t>
        </is>
      </c>
    </row>
    <row r="1288">
      <c r="A1288" s="3" t="inlineStr">
        <is>
          <t>TS 1911</t>
        </is>
      </c>
      <c r="B1288" s="2" t="inlineStr">
        <is>
          <t>F rozbočovač, 3 pásmový</t>
        </is>
      </c>
      <c r="C1288" s="1" t="n">
        <v>0.69</v>
      </c>
      <c r="D1288" s="7" t="n">
        <f>HYPERLINK("https://www.somogyi.sk/product/f-rozbocovac-3-pasmovy-ts-1911-1935","https://www.somogyi.sk/product/f-rozbocovac-3-pasmovy-ts-1911-1935")</f>
        <v>0.0</v>
      </c>
      <c r="E1288" s="7" t="n">
        <f>HYPERLINK("https://www.somogyi.sk/data/img/product_main_images/small/01935.jpg","https://www.somogyi.sk/data/img/product_main_images/small/01935.jpg")</f>
        <v>0.0</v>
      </c>
      <c r="F1288" s="2" t="inlineStr">
        <is>
          <t>5998312705384</t>
        </is>
      </c>
      <c r="G1288" s="4" t="inlineStr">
        <is>
          <t xml:space="preserve"> • prípojky: "F" vstup / 3 x "F" výstup 
 • materiál krytu: kovová 
 • frekvenčné pásmo: 5 - 900 MHz</t>
        </is>
      </c>
    </row>
    <row r="1289">
      <c r="A1289" s="3" t="inlineStr">
        <is>
          <t>FS 14</t>
        </is>
      </c>
      <c r="B1289" s="2" t="inlineStr">
        <is>
          <t>Koaxiálna vidlica, kovová</t>
        </is>
      </c>
      <c r="C1289" s="1" t="n">
        <v>1.09</v>
      </c>
      <c r="D1289" s="7" t="n">
        <f>HYPERLINK("https://www.somogyi.sk/product/koaxialna-vidlica-kovova-fs-14-1772","https://www.somogyi.sk/product/koaxialna-vidlica-kovova-fs-14-1772")</f>
        <v>0.0</v>
      </c>
      <c r="E1289" s="7" t="n">
        <f>HYPERLINK("https://www.somogyi.sk/data/img/product_main_images/small/01772.jpg","https://www.somogyi.sk/data/img/product_main_images/small/01772.jpg")</f>
        <v>0.0</v>
      </c>
      <c r="F1289" s="2" t="inlineStr">
        <is>
          <t>5998312702345</t>
        </is>
      </c>
      <c r="G1289" s="4" t="inlineStr">
        <is>
          <t xml:space="preserve"> • prípojky: koaxiálna vidlica 
 • materiál krytu: kovová 
 • zapojenie: skrutkovateľná</t>
        </is>
      </c>
    </row>
    <row r="1290">
      <c r="A1290" s="3" t="inlineStr">
        <is>
          <t>FS 12X</t>
        </is>
      </c>
      <c r="B1290" s="2" t="inlineStr">
        <is>
          <t>1x koax. vidlica + 1x koax. zásuvka</t>
        </is>
      </c>
      <c r="C1290" s="1" t="n">
        <v>0.99</v>
      </c>
      <c r="D1290" s="7" t="n">
        <f>HYPERLINK("https://www.somogyi.sk/product/1x-koax-vidlica-1x-koax-zasuvka-fs-12x-2194","https://www.somogyi.sk/product/1x-koax-vidlica-1x-koax-zasuvka-fs-12x-2194")</f>
        <v>0.0</v>
      </c>
      <c r="E1290" s="7" t="n">
        <f>HYPERLINK("https://www.somogyi.sk/data/img/product_main_images/small/02194.jpg","https://www.somogyi.sk/data/img/product_main_images/small/02194.jpg")</f>
        <v>0.0</v>
      </c>
      <c r="F1290" s="2" t="inlineStr">
        <is>
          <t>5998312724590</t>
        </is>
      </c>
      <c r="G1290" s="4" t="inlineStr">
        <is>
          <t xml:space="preserve"> • prípojky: koaxiálna lomená vidlica + koaxiálna lomená zásuvka 
 • materiál krytu: plastová 
 • zapojenie: skrutkovateľná 
 • blister: áno</t>
        </is>
      </c>
    </row>
    <row r="1291">
      <c r="A1291" s="3" t="inlineStr">
        <is>
          <t>TSP 1911</t>
        </is>
      </c>
      <c r="B1291" s="2" t="inlineStr">
        <is>
          <t>F rozbočovač, 3 pásmový</t>
        </is>
      </c>
      <c r="C1291" s="1" t="n">
        <v>4.09</v>
      </c>
      <c r="D1291" s="7" t="n">
        <f>HYPERLINK("https://www.somogyi.sk/product/f-rozbocovac-3-pasmovy-tsp-1911-5139","https://www.somogyi.sk/product/f-rozbocovac-3-pasmovy-tsp-1911-5139")</f>
        <v>0.0</v>
      </c>
      <c r="E1291" s="7" t="n">
        <f>HYPERLINK("https://www.somogyi.sk/data/img/product_main_images/small/05139.jpg","https://www.somogyi.sk/data/img/product_main_images/small/05139.jpg")</f>
        <v>0.0</v>
      </c>
      <c r="F1291" s="2" t="inlineStr">
        <is>
          <t>5998312745274</t>
        </is>
      </c>
      <c r="G1291" s="4" t="inlineStr">
        <is>
          <t xml:space="preserve"> • prípojky: "F" vstup / 3 x "F" výstup 
 • materiál krytu: kovová 
 • frekvenčné pásmo: 900 - 2400 MHz</t>
        </is>
      </c>
    </row>
    <row r="1292">
      <c r="A1292" s="3" t="inlineStr">
        <is>
          <t>FS 27</t>
        </is>
      </c>
      <c r="B1292" s="2" t="inlineStr">
        <is>
          <t>Koaxiálny rozbočovač, 1 zásuvka-2 vidlica, kovová</t>
        </is>
      </c>
      <c r="C1292" s="1" t="n">
        <v>1.89</v>
      </c>
      <c r="D1292" s="7" t="n">
        <f>HYPERLINK("https://www.somogyi.sk/product/koaxialny-rozbocovac-1-zasuvka-2-vidlica-kovova-fs-27-1779","https://www.somogyi.sk/product/koaxialny-rozbocovac-1-zasuvka-2-vidlica-kovova-fs-27-1779")</f>
        <v>0.0</v>
      </c>
      <c r="E1292" s="7" t="n">
        <f>HYPERLINK("https://www.somogyi.sk/data/img/product_main_images/small/01779.jpg","https://www.somogyi.sk/data/img/product_main_images/small/01779.jpg")</f>
        <v>0.0</v>
      </c>
      <c r="F1292" s="2" t="inlineStr">
        <is>
          <t>5998312702413</t>
        </is>
      </c>
      <c r="G1292" s="4" t="inlineStr">
        <is>
          <t xml:space="preserve"> • prípojky: 2 x koaxiálna vidlica / koaxiálna zásuvka 
 • materiál krytu: kovová</t>
        </is>
      </c>
    </row>
    <row r="1293">
      <c r="A1293" s="3" t="inlineStr">
        <is>
          <t>FS 2</t>
        </is>
      </c>
      <c r="B1293" s="2" t="inlineStr">
        <is>
          <t>Koaxiálna zásuvka, uhlová</t>
        </is>
      </c>
      <c r="C1293" s="1" t="n">
        <v>0.39</v>
      </c>
      <c r="D1293" s="7" t="n">
        <f>HYPERLINK("https://www.somogyi.sk/product/koaxialna-zasuvka-uhlova-fs-2-1776","https://www.somogyi.sk/product/koaxialna-zasuvka-uhlova-fs-2-1776")</f>
        <v>0.0</v>
      </c>
      <c r="E1293" s="7" t="n">
        <f>HYPERLINK("https://www.somogyi.sk/data/img/product_main_images/small/01776.jpg","https://www.somogyi.sk/data/img/product_main_images/small/01776.jpg")</f>
        <v>0.0</v>
      </c>
      <c r="F1293" s="2" t="inlineStr">
        <is>
          <t>5998312702383</t>
        </is>
      </c>
      <c r="G1293" s="4" t="inlineStr">
        <is>
          <t xml:space="preserve"> • prípojky: koaxiálna zásuvka, lomená 
 • materiál krytu: plastová 
 • zapojenie: skrutkovateľná</t>
        </is>
      </c>
    </row>
    <row r="1294">
      <c r="A1294" s="3" t="inlineStr">
        <is>
          <t>FST 1</t>
        </is>
      </c>
      <c r="B1294" s="2" t="inlineStr">
        <is>
          <t>Koaxiálna vidlica, kovová, skrutkovateľná na koax.</t>
        </is>
      </c>
      <c r="C1294" s="1" t="n">
        <v>1.49</v>
      </c>
      <c r="D1294" s="7" t="n">
        <f>HYPERLINK("https://www.somogyi.sk/product/koaxialna-vidlica-kovova-skrutkovatelna-na-koax-fst-1-2380","https://www.somogyi.sk/product/koaxialna-vidlica-kovova-skrutkovatelna-na-koax-fst-1-2380")</f>
        <v>0.0</v>
      </c>
      <c r="E1294" s="7" t="n">
        <f>HYPERLINK("https://www.somogyi.sk/data/img/product_main_images/small/02380.jpg","https://www.somogyi.sk/data/img/product_main_images/small/02380.jpg")</f>
        <v>0.0</v>
      </c>
      <c r="F1294" s="2" t="inlineStr">
        <is>
          <t>5998312726877</t>
        </is>
      </c>
      <c r="G1294" s="4" t="inlineStr">
        <is>
          <t xml:space="preserve"> • prípojky: koaxiálna zásuvka 
 • materiál krytu: kovová 
 • zapojenie: ku koaxiálnemu káblu RG 6</t>
        </is>
      </c>
    </row>
    <row r="1295">
      <c r="A1295" s="3" t="inlineStr">
        <is>
          <t>FST 2X</t>
        </is>
      </c>
      <c r="B1295" s="2" t="inlineStr">
        <is>
          <t>Koaxiálna zásuvka, kovová, skrutkovateľná na Koaxiálna, blister</t>
        </is>
      </c>
      <c r="C1295" s="1" t="n">
        <v>1.59</v>
      </c>
      <c r="D1295" s="7" t="n">
        <f>HYPERLINK("https://www.somogyi.sk/product/koaxialna-zasuvka-kovova-skrutkovatelna-na-koaxialna-blister-fst-2x-2785","https://www.somogyi.sk/product/koaxialna-zasuvka-kovova-skrutkovatelna-na-koaxialna-blister-fst-2x-2785")</f>
        <v>0.0</v>
      </c>
      <c r="E1295" s="7" t="n">
        <f>HYPERLINK("https://www.somogyi.sk/data/img/product_main_images/small/02785.jpg","https://www.somogyi.sk/data/img/product_main_images/small/02785.jpg")</f>
        <v>0.0</v>
      </c>
      <c r="F1295" s="2" t="inlineStr">
        <is>
          <t>5998312731093</t>
        </is>
      </c>
      <c r="G1295" s="4" t="inlineStr">
        <is>
          <t xml:space="preserve"> • prípojky: koaxiálna zásuvka 
 • materiál krytu: kovová 
 • zapojenie: skrutkovateľná (ku RG 6) 
 • blister: áno</t>
        </is>
      </c>
    </row>
    <row r="1296">
      <c r="A1296" s="3" t="inlineStr">
        <is>
          <t>FS 19</t>
        </is>
      </c>
      <c r="B1296" s="2" t="inlineStr">
        <is>
          <t>Koaxiálna zásuvka</t>
        </is>
      </c>
      <c r="C1296" s="1" t="n">
        <v>0.39</v>
      </c>
      <c r="D1296" s="7" t="n">
        <f>HYPERLINK("https://www.somogyi.sk/product/koaxialna-zasuvka-fs-19-1774","https://www.somogyi.sk/product/koaxialna-zasuvka-fs-19-1774")</f>
        <v>0.0</v>
      </c>
      <c r="E1296" s="7" t="n">
        <f>HYPERLINK("https://www.somogyi.sk/data/img/product_main_images/small/01774.jpg","https://www.somogyi.sk/data/img/product_main_images/small/01774.jpg")</f>
        <v>0.0</v>
      </c>
      <c r="F1296" s="2" t="inlineStr">
        <is>
          <t>5998312702369</t>
        </is>
      </c>
      <c r="G1296" s="4" t="inlineStr">
        <is>
          <t xml:space="preserve"> • prípojky: koaxiálna zásuvka 
 • materiál krytu: plastová 
 • zapojenie: skrutkovateľná</t>
        </is>
      </c>
    </row>
    <row r="1297">
      <c r="A1297" s="3" t="inlineStr">
        <is>
          <t>TSP 1913X</t>
        </is>
      </c>
      <c r="B1297" s="2" t="inlineStr">
        <is>
          <t>F rozbočovač, 4 pásmový, SAT, blister</t>
        </is>
      </c>
      <c r="C1297" s="1" t="n">
        <v>4.49</v>
      </c>
      <c r="D1297" s="7" t="n">
        <f>HYPERLINK("https://www.somogyi.sk/product/f-rozbocovac-4-pasmovy-sat-blister-tsp-1913x-5507","https://www.somogyi.sk/product/f-rozbocovac-4-pasmovy-sat-blister-tsp-1913x-5507")</f>
        <v>0.0</v>
      </c>
      <c r="E1297" s="7" t="n">
        <f>HYPERLINK("https://www.somogyi.sk/data/img/product_main_images/small/05507.jpg","https://www.somogyi.sk/data/img/product_main_images/small/05507.jpg")</f>
        <v>0.0</v>
      </c>
      <c r="F1297" s="2" t="inlineStr">
        <is>
          <t>5998312748701</t>
        </is>
      </c>
      <c r="G1297" s="4" t="inlineStr">
        <is>
          <t xml:space="preserve"> • prípojky: "F" vstup / 4 x "F" výstup 
 • materiál krytu: kovová 
 • frekvenčné pásmo: 900 - 2400 MHz 
 • blister: áno</t>
        </is>
      </c>
    </row>
    <row r="1298">
      <c r="A1298" s="3" t="inlineStr">
        <is>
          <t>FF 18</t>
        </is>
      </c>
      <c r="B1298" s="2" t="inlineStr">
        <is>
          <t>Redukcia, koax vidlica-F zásuvka</t>
        </is>
      </c>
      <c r="C1298" s="1" t="n">
        <v>1.49</v>
      </c>
      <c r="D1298" s="7" t="n">
        <f>HYPERLINK("https://www.somogyi.sk/product/redukcia-koax-vidlica-f-zasuvka-ff-18-1983","https://www.somogyi.sk/product/redukcia-koax-vidlica-f-zasuvka-ff-18-1983")</f>
        <v>0.0</v>
      </c>
      <c r="E1298" s="7" t="n">
        <f>HYPERLINK("https://www.somogyi.sk/data/img/product_main_images/small/01983.jpg","https://www.somogyi.sk/data/img/product_main_images/small/01983.jpg")</f>
        <v>0.0</v>
      </c>
      <c r="F1298" s="2" t="inlineStr">
        <is>
          <t>5998312711811</t>
        </is>
      </c>
      <c r="G1298" s="4" t="inlineStr">
        <is>
          <t xml:space="preserve"> • prípojky: koaxiálna vidlica / F zásuvka 
 • materiál krytu: kovová</t>
        </is>
      </c>
    </row>
    <row r="1299">
      <c r="A1299" s="3" t="inlineStr">
        <is>
          <t>FF 21</t>
        </is>
      </c>
      <c r="B1299" s="2" t="inlineStr">
        <is>
          <t>F vidlica, ku káblu KH3</t>
        </is>
      </c>
      <c r="C1299" s="1" t="n">
        <v>0.49</v>
      </c>
      <c r="D1299" s="7" t="n">
        <f>HYPERLINK("https://www.somogyi.sk/product/f-vidlica-ku-kablu-kh3-ff-21-4844","https://www.somogyi.sk/product/f-vidlica-ku-kablu-kh3-ff-21-4844")</f>
        <v>0.0</v>
      </c>
      <c r="E1299" s="7" t="n">
        <f>HYPERLINK("https://www.somogyi.sk/data/img/product_main_images/small/04844.jpg","https://www.somogyi.sk/data/img/product_main_images/small/04844.jpg")</f>
        <v>0.0</v>
      </c>
      <c r="F1299" s="2" t="inlineStr">
        <is>
          <t>5998312742822</t>
        </is>
      </c>
      <c r="G1299" s="4" t="inlineStr">
        <is>
          <t xml:space="preserve"> • prípojky: F vidlica 
 • materiál krytu: kovová 
 • zapojenie: ku káblu KH 3</t>
        </is>
      </c>
    </row>
    <row r="1300">
      <c r="A1300" s="3" t="inlineStr">
        <is>
          <t>TSP 1911X</t>
        </is>
      </c>
      <c r="B1300" s="2" t="inlineStr">
        <is>
          <t>F rozbočovač, 3 pásmový, SAT, blister</t>
        </is>
      </c>
      <c r="C1300" s="1" t="n">
        <v>3.99</v>
      </c>
      <c r="D1300" s="7" t="n">
        <f>HYPERLINK("https://www.somogyi.sk/product/f-rozbocovac-3-pasmovy-sat-blister-tsp-1911x-5506","https://www.somogyi.sk/product/f-rozbocovac-3-pasmovy-sat-blister-tsp-1911x-5506")</f>
        <v>0.0</v>
      </c>
      <c r="E1300" s="7" t="n">
        <f>HYPERLINK("https://www.somogyi.sk/data/img/product_main_images/small/05506.jpg","https://www.somogyi.sk/data/img/product_main_images/small/05506.jpg")</f>
        <v>0.0</v>
      </c>
      <c r="F1300" s="2" t="inlineStr">
        <is>
          <t>5998312748695</t>
        </is>
      </c>
      <c r="G1300" s="4" t="inlineStr">
        <is>
          <t xml:space="preserve"> • prípojky: "F" vstup / 3 x "F" výstup 
 • materiál krytu: kovová 
 • frekvenčné pásmo: 900 - 2400 MHz 
 • blister: áno</t>
        </is>
      </c>
    </row>
    <row r="1301">
      <c r="A1301" s="3" t="inlineStr">
        <is>
          <t>FS 1819X</t>
        </is>
      </c>
      <c r="B1301" s="2" t="inlineStr">
        <is>
          <t>1 ks koax. vidlice + 1 ks koax. zásuvky</t>
        </is>
      </c>
      <c r="C1301" s="1" t="n">
        <v>0.99</v>
      </c>
      <c r="D1301" s="7" t="n">
        <f>HYPERLINK("https://www.somogyi.sk/product/1-ks-koax-vidlice-1-ks-koax-zasuvky-fs-1819x-2192","https://www.somogyi.sk/product/1-ks-koax-vidlice-1-ks-koax-zasuvky-fs-1819x-2192")</f>
        <v>0.0</v>
      </c>
      <c r="E1301" s="7" t="n">
        <f>HYPERLINK("https://www.somogyi.sk/data/img/product_main_images/small/02192.jpg","https://www.somogyi.sk/data/img/product_main_images/small/02192.jpg")</f>
        <v>0.0</v>
      </c>
      <c r="F1301" s="2" t="inlineStr">
        <is>
          <t>5998312724576</t>
        </is>
      </c>
      <c r="G1301" s="4" t="inlineStr">
        <is>
          <t xml:space="preserve"> • prípojky: koaxiálna vidlica + koaxiálna zásuvka 
 • materiál krytu: plastová 
 • zapojenie: skrutkovateľná 
 • blister: áno</t>
        </is>
      </c>
    </row>
    <row r="1302">
      <c r="A1302" s="3" t="inlineStr">
        <is>
          <t>FS 2X</t>
        </is>
      </c>
      <c r="B1302" s="2" t="inlineStr">
        <is>
          <t>Koaxiálna zásuvka, lomená, blister</t>
        </is>
      </c>
      <c r="C1302" s="1" t="n">
        <v>0.99</v>
      </c>
      <c r="D1302" s="7" t="n">
        <f>HYPERLINK("https://www.somogyi.sk/product/koaxialna-zasuvka-lomena-blister-fs-2x-2439","https://www.somogyi.sk/product/koaxialna-zasuvka-lomena-blister-fs-2x-2439")</f>
        <v>0.0</v>
      </c>
      <c r="E1302" s="7" t="n">
        <f>HYPERLINK("https://www.somogyi.sk/data/img/product_main_images/small/02439.jpg","https://www.somogyi.sk/data/img/product_main_images/small/02439.jpg")</f>
        <v>0.0</v>
      </c>
      <c r="F1302" s="2" t="inlineStr">
        <is>
          <t>5998312727485</t>
        </is>
      </c>
      <c r="G1302" s="4" t="inlineStr">
        <is>
          <t xml:space="preserve"> • prípojky: koaxiálna lomená zásuvka 
 • materiál krytu: plastová 
 • zapojenie: skrutkovateľná 
 • blister: áno</t>
        </is>
      </c>
    </row>
    <row r="1303">
      <c r="A1303" s="3" t="inlineStr">
        <is>
          <t>FF 113X</t>
        </is>
      </c>
      <c r="B1303" s="2" t="inlineStr">
        <is>
          <t>2 ks F vidlica + 1 ks F spojka</t>
        </is>
      </c>
      <c r="C1303" s="1" t="n">
        <v>0.79</v>
      </c>
      <c r="D1303" s="7" t="n">
        <f>HYPERLINK("https://www.somogyi.sk/product/2-ks-f-vidlica-1-ks-f-spojka-ff-113x-2437","https://www.somogyi.sk/product/2-ks-f-vidlica-1-ks-f-spojka-ff-113x-2437")</f>
        <v>0.0</v>
      </c>
      <c r="E1303" s="7" t="n">
        <f>HYPERLINK("https://www.somogyi.sk/data/img/product_main_images/small/02437.jpg","https://www.somogyi.sk/data/img/product_main_images/small/02437.jpg")</f>
        <v>0.0</v>
      </c>
      <c r="F1303" s="2" t="inlineStr">
        <is>
          <t>5998312727461</t>
        </is>
      </c>
      <c r="G1303" s="4" t="inlineStr">
        <is>
          <t xml:space="preserve"> • prípojky: 2 x F vidlica + F spojka (zásuvka) 
 • materiál krytu: kovová 
 • zapojenie: skrutkovateľná (ku RG 6) 
 • blister: áno</t>
        </is>
      </c>
    </row>
    <row r="1304">
      <c r="A1304" s="3" t="inlineStr">
        <is>
          <t>TSP 1913</t>
        </is>
      </c>
      <c r="B1304" s="2" t="inlineStr">
        <is>
          <t>F rozbočovač, 4 pásmový, SAT</t>
        </is>
      </c>
      <c r="C1304" s="1" t="n">
        <v>4.49</v>
      </c>
      <c r="D1304" s="7" t="n">
        <f>HYPERLINK("https://www.somogyi.sk/product/f-rozbocovac-4-pasmovy-sat-tsp-1913-5140","https://www.somogyi.sk/product/f-rozbocovac-4-pasmovy-sat-tsp-1913-5140")</f>
        <v>0.0</v>
      </c>
      <c r="E1304" s="7" t="n">
        <f>HYPERLINK("https://www.somogyi.sk/data/img/product_main_images/small/05140.jpg","https://www.somogyi.sk/data/img/product_main_images/small/05140.jpg")</f>
        <v>0.0</v>
      </c>
      <c r="F1304" s="2" t="inlineStr">
        <is>
          <t>5998312745281</t>
        </is>
      </c>
      <c r="G1304" s="4" t="inlineStr">
        <is>
          <t xml:space="preserve"> • prípojky: "F" vstup / 4 x "F" výstup 
 • materiál krytu: kovová 
 • frekvenčné pásmo: 900 - 2400 MHz</t>
        </is>
      </c>
    </row>
    <row r="1305">
      <c r="A1305" s="3" t="inlineStr">
        <is>
          <t>FF 18P</t>
        </is>
      </c>
      <c r="B1305" s="2" t="inlineStr">
        <is>
          <t>Koaxiálna vidlica - F zásuvka, lomená</t>
        </is>
      </c>
      <c r="C1305" s="1" t="n">
        <v>1.69</v>
      </c>
      <c r="D1305" s="7" t="n">
        <f>HYPERLINK("https://www.somogyi.sk/product/koaxialna-vidlica-f-zasuvka-lomena-ff-18p-17974","https://www.somogyi.sk/product/koaxialna-vidlica-f-zasuvka-lomena-ff-18p-17974")</f>
        <v>0.0</v>
      </c>
      <c r="E1305" s="7" t="n">
        <f>HYPERLINK("https://www.somogyi.sk/data/img/product_main_images/small/17974.jpg","https://www.somogyi.sk/data/img/product_main_images/small/17974.jpg")</f>
        <v>0.0</v>
      </c>
      <c r="F1305" s="2" t="inlineStr">
        <is>
          <t>5999084959968</t>
        </is>
      </c>
      <c r="G1305" s="4" t="inlineStr">
        <is>
          <t xml:space="preserve"> • prípojky: koax vidlica / F zásuvka 
 • materiál krytu: kovový</t>
        </is>
      </c>
    </row>
    <row r="1306">
      <c r="A1306" s="3" t="inlineStr">
        <is>
          <t>TSP 1910</t>
        </is>
      </c>
      <c r="B1306" s="2" t="inlineStr">
        <is>
          <t>F rozbočovač, 2 pásmový</t>
        </is>
      </c>
      <c r="C1306" s="1" t="n">
        <v>3.39</v>
      </c>
      <c r="D1306" s="7" t="n">
        <f>HYPERLINK("https://www.somogyi.sk/product/f-rozbocovac-2-pasmovy-tsp-1910-5138","https://www.somogyi.sk/product/f-rozbocovac-2-pasmovy-tsp-1910-5138")</f>
        <v>0.0</v>
      </c>
      <c r="E1306" s="7" t="n">
        <f>HYPERLINK("https://www.somogyi.sk/data/img/product_main_images/small/05138.jpg","https://www.somogyi.sk/data/img/product_main_images/small/05138.jpg")</f>
        <v>0.0</v>
      </c>
      <c r="F1306" s="2" t="inlineStr">
        <is>
          <t>5998312745267</t>
        </is>
      </c>
      <c r="G1306" s="4" t="inlineStr">
        <is>
          <t xml:space="preserve"> • prípojky: "F" vstup / 2 x "F" výstup 
 • materiál krytu: kovová 
 • frekvenčné pásmo: 900 - 2400 MHz</t>
        </is>
      </c>
    </row>
    <row r="1307">
      <c r="A1307" s="3" t="inlineStr">
        <is>
          <t>TSX 1911</t>
        </is>
      </c>
      <c r="B1307" s="2" t="inlineStr">
        <is>
          <t>3-pásmový F rozbočovač, HQ</t>
        </is>
      </c>
      <c r="C1307" s="1" t="n">
        <v>5.79</v>
      </c>
      <c r="D1307" s="7" t="n">
        <f>HYPERLINK("https://www.somogyi.sk/product/3-pasmovy-f-rozbocovac-hq-tsx-1911-17976","https://www.somogyi.sk/product/3-pasmovy-f-rozbocovac-hq-tsx-1911-17976")</f>
        <v>0.0</v>
      </c>
      <c r="E1307" s="7" t="n">
        <f>HYPERLINK("https://www.somogyi.sk/data/img/product_main_images/small/17976.jpg","https://www.somogyi.sk/data/img/product_main_images/small/17976.jpg")</f>
        <v>0.0</v>
      </c>
      <c r="F1307" s="2" t="inlineStr">
        <is>
          <t>5999084959982</t>
        </is>
      </c>
      <c r="G1307" s="4" t="inlineStr">
        <is>
          <t xml:space="preserve"> • prípojky: "F" vstup / 3 x "F" výstup 
 • materiál krytu: kovový 
 • frekvenčné pásmo: 5-2400 MHz</t>
        </is>
      </c>
    </row>
    <row r="1308">
      <c r="A1308" s="3" t="inlineStr">
        <is>
          <t>FF 19</t>
        </is>
      </c>
      <c r="B1308" s="2" t="inlineStr">
        <is>
          <t xml:space="preserve">Redukcia, koax zásuvka-F vidlica </t>
        </is>
      </c>
      <c r="C1308" s="1" t="n">
        <v>1.29</v>
      </c>
      <c r="D1308" s="7" t="n">
        <f>HYPERLINK("https://www.somogyi.sk/product/redukcia-koax-zasuvka-f-vidlica-ff-19-1984","https://www.somogyi.sk/product/redukcia-koax-zasuvka-f-vidlica-ff-19-1984")</f>
        <v>0.0</v>
      </c>
      <c r="E1308" s="7" t="n">
        <f>HYPERLINK("https://www.somogyi.sk/data/img/product_main_images/small/01984.jpg","https://www.somogyi.sk/data/img/product_main_images/small/01984.jpg")</f>
        <v>0.0</v>
      </c>
      <c r="F1308" s="2" t="inlineStr">
        <is>
          <t>5998312711828</t>
        </is>
      </c>
      <c r="G1308" s="4" t="inlineStr">
        <is>
          <t xml:space="preserve"> • prípojky: koaxiálna zásuvka / F zásuvka 
 • materiál krytu: kovová</t>
        </is>
      </c>
    </row>
    <row r="1309">
      <c r="A1309" s="3" t="inlineStr">
        <is>
          <t>FF 13</t>
        </is>
      </c>
      <c r="B1309" s="2" t="inlineStr">
        <is>
          <t>F spojka, zásuvka-zásuvka</t>
        </is>
      </c>
      <c r="C1309" s="1" t="n">
        <v>0.39</v>
      </c>
      <c r="D1309" s="7" t="n">
        <f>HYPERLINK("https://www.somogyi.sk/product/f-spojka-zasuvka-zasuvka-ff-13-1982","https://www.somogyi.sk/product/f-spojka-zasuvka-zasuvka-ff-13-1982")</f>
        <v>0.0</v>
      </c>
      <c r="E1309" s="7" t="n">
        <f>HYPERLINK("https://www.somogyi.sk/data/img/product_main_images/small/01982.jpg","https://www.somogyi.sk/data/img/product_main_images/small/01982.jpg")</f>
        <v>0.0</v>
      </c>
      <c r="F1309" s="2" t="inlineStr">
        <is>
          <t>5998312711804</t>
        </is>
      </c>
      <c r="G1309" s="4" t="inlineStr">
        <is>
          <t xml:space="preserve"> • prípojky: F spojka (zásuvka / zásuvka) 
 • materiál krytu: kovová</t>
        </is>
      </c>
    </row>
    <row r="1310">
      <c r="A1310" s="3" t="inlineStr">
        <is>
          <t>FS 18</t>
        </is>
      </c>
      <c r="B1310" s="2" t="inlineStr">
        <is>
          <t>Koaxiálna vidlica</t>
        </is>
      </c>
      <c r="C1310" s="1" t="n">
        <v>0.39</v>
      </c>
      <c r="D1310" s="7" t="n">
        <f>HYPERLINK("https://www.somogyi.sk/product/koaxialna-vidlica-fs-18-1990","https://www.somogyi.sk/product/koaxialna-vidlica-fs-18-1990")</f>
        <v>0.0</v>
      </c>
      <c r="E1310" s="7" t="n">
        <f>HYPERLINK("https://www.somogyi.sk/data/img/product_main_images/small/01990.jpg","https://www.somogyi.sk/data/img/product_main_images/small/01990.jpg")</f>
        <v>0.0</v>
      </c>
      <c r="F1310" s="2" t="inlineStr">
        <is>
          <t>5998312712351</t>
        </is>
      </c>
      <c r="G1310" s="4" t="inlineStr">
        <is>
          <t xml:space="preserve"> • prípojky: koaxiálna vidlica 
 • materiál krytu: plastová 
 • zapojenie: skrutkovateľná</t>
        </is>
      </c>
    </row>
    <row r="1311">
      <c r="A1311" s="3" t="inlineStr">
        <is>
          <t>FS 28X</t>
        </is>
      </c>
      <c r="B1311" s="2" t="inlineStr">
        <is>
          <t>Koaxiálny rozbočovač, 1 vidlica-2 zásuvka, kovová, blister</t>
        </is>
      </c>
      <c r="C1311" s="1" t="n">
        <v>2.09</v>
      </c>
      <c r="D1311" s="7" t="n">
        <f>HYPERLINK("https://www.somogyi.sk/product/koaxialny-rozbocovac-1-vidlica-2-zasuvka-kovova-blister-fs-28x-2205","https://www.somogyi.sk/product/koaxialny-rozbocovac-1-vidlica-2-zasuvka-kovova-blister-fs-28x-2205")</f>
        <v>0.0</v>
      </c>
      <c r="E1311" s="7" t="n">
        <f>HYPERLINK("https://www.somogyi.sk/data/img/product_main_images/small/02205.jpg","https://www.somogyi.sk/data/img/product_main_images/small/02205.jpg")</f>
        <v>0.0</v>
      </c>
      <c r="F1311" s="2" t="inlineStr">
        <is>
          <t>5998312724705</t>
        </is>
      </c>
      <c r="G1311" s="4" t="inlineStr">
        <is>
          <t xml:space="preserve"> • prípojky: koaxiálna vidlica / 2 x koaxiálna zásuvka 
 • materiál krytu: kovová 
 • blister: áno</t>
        </is>
      </c>
    </row>
    <row r="1312">
      <c r="A1312" s="3" t="inlineStr">
        <is>
          <t>FS 18X</t>
        </is>
      </c>
      <c r="B1312" s="2" t="inlineStr">
        <is>
          <t>Koaxiálna vidlica, blister</t>
        </is>
      </c>
      <c r="C1312" s="1" t="n">
        <v>0.99</v>
      </c>
      <c r="D1312" s="7" t="n">
        <f>HYPERLINK("https://www.somogyi.sk/product/koaxialna-vidlica-blister-fs-18x-2191","https://www.somogyi.sk/product/koaxialna-vidlica-blister-fs-18x-2191")</f>
        <v>0.0</v>
      </c>
      <c r="E1312" s="7" t="n">
        <f>HYPERLINK("https://www.somogyi.sk/data/img/product_main_images/small/02191.jpg","https://www.somogyi.sk/data/img/product_main_images/small/02191.jpg")</f>
        <v>0.0</v>
      </c>
      <c r="F1312" s="2" t="inlineStr">
        <is>
          <t>5998312724569</t>
        </is>
      </c>
      <c r="G1312" s="4" t="inlineStr">
        <is>
          <t xml:space="preserve"> • prípojky: koaxiálna vidlica 
 • materiál krytu: plastová 
 • zapojenie: skrutkovateľná 
 • blister: áno</t>
        </is>
      </c>
    </row>
    <row r="1313">
      <c r="A1313" s="3" t="inlineStr">
        <is>
          <t>FST 2</t>
        </is>
      </c>
      <c r="B1313" s="2" t="inlineStr">
        <is>
          <t>Koaxiálna zásuvka, kovová, skrutkovateľná na koax.</t>
        </is>
      </c>
      <c r="C1313" s="1" t="n">
        <v>1.49</v>
      </c>
      <c r="D1313" s="7" t="n">
        <f>HYPERLINK("https://www.somogyi.sk/product/koaxialna-zasuvka-kovova-skrutkovatelna-na-koax-fst-2-1790","https://www.somogyi.sk/product/koaxialna-zasuvka-kovova-skrutkovatelna-na-koax-fst-2-1790")</f>
        <v>0.0</v>
      </c>
      <c r="E1313" s="7" t="n">
        <f>HYPERLINK("https://www.somogyi.sk/data/img/product_main_images/small/01790.jpg","https://www.somogyi.sk/data/img/product_main_images/small/01790.jpg")</f>
        <v>0.0</v>
      </c>
      <c r="F1313" s="2" t="inlineStr">
        <is>
          <t>5998312702536</t>
        </is>
      </c>
      <c r="G1313" s="4" t="inlineStr">
        <is>
          <t xml:space="preserve"> • prípojky: koaxiálna zásuvka 
 • materiál krytu: kovová 
 • zapojenie: pre koax. kábel RG 6</t>
        </is>
      </c>
    </row>
    <row r="1314">
      <c r="A1314" s="3" t="inlineStr">
        <is>
          <t>FS 19X</t>
        </is>
      </c>
      <c r="B1314" s="2" t="inlineStr">
        <is>
          <t>Koaxiálna zásuvka, blister</t>
        </is>
      </c>
      <c r="C1314" s="1" t="n">
        <v>0.99</v>
      </c>
      <c r="D1314" s="7" t="n">
        <f>HYPERLINK("https://www.somogyi.sk/product/koaxialna-zasuvka-blister-fs-19x-2438","https://www.somogyi.sk/product/koaxialna-zasuvka-blister-fs-19x-2438")</f>
        <v>0.0</v>
      </c>
      <c r="E1314" s="7" t="n">
        <f>HYPERLINK("https://www.somogyi.sk/data/img/product_main_images/small/02438.jpg","https://www.somogyi.sk/data/img/product_main_images/small/02438.jpg")</f>
        <v>0.0</v>
      </c>
      <c r="F1314" s="2" t="inlineStr">
        <is>
          <t>5998312727478</t>
        </is>
      </c>
      <c r="G1314" s="4" t="inlineStr">
        <is>
          <t xml:space="preserve"> • prípojky: koaxiálna zásuvka 
 • materiál krytu: plastová 
 • zapojenie: skrutkovateľná 
 • blister: áno</t>
        </is>
      </c>
    </row>
    <row r="1315">
      <c r="A1315" s="6" t="inlineStr">
        <is>
          <t xml:space="preserve">   Audio-video doplnky / Napájacia vidlica, akumulátorové kliešte, krokosvorka, radová svorka, prípojka batérie</t>
        </is>
      </c>
      <c r="B1315" s="6" t="inlineStr">
        <is>
          <t/>
        </is>
      </c>
      <c r="C1315" s="6" t="inlineStr">
        <is>
          <t/>
        </is>
      </c>
      <c r="D1315" s="6" t="inlineStr">
        <is>
          <t/>
        </is>
      </c>
      <c r="E1315" s="6" t="inlineStr">
        <is>
          <t/>
        </is>
      </c>
      <c r="F1315" s="6" t="inlineStr">
        <is>
          <t/>
        </is>
      </c>
      <c r="G1315" s="6" t="inlineStr">
        <is>
          <t/>
        </is>
      </c>
    </row>
    <row r="1316">
      <c r="A1316" s="3" t="inlineStr">
        <is>
          <t>VBC 200/RD</t>
        </is>
      </c>
      <c r="B1316" s="2" t="inlineStr">
        <is>
          <t>Akumulátorová svorka, 200A, 150mm, červená</t>
        </is>
      </c>
      <c r="C1316" s="1" t="n">
        <v>3.09</v>
      </c>
      <c r="D1316" s="7" t="n">
        <f>HYPERLINK("https://www.somogyi.sk/product/akumulatorova-svorka-200a-150mm-cervena-vbc-200-rd-4743","https://www.somogyi.sk/product/akumulatorova-svorka-200a-150mm-cervena-vbc-200-rd-4743")</f>
        <v>0.0</v>
      </c>
      <c r="E1316" s="7" t="n">
        <f>HYPERLINK("https://www.somogyi.sk/data/img/product_main_images/small/04743.jpg","https://www.somogyi.sk/data/img/product_main_images/small/04743.jpg")</f>
        <v>0.0</v>
      </c>
      <c r="F1316" s="2" t="inlineStr">
        <is>
          <t>5998312741870</t>
        </is>
      </c>
      <c r="G1316" s="4" t="inlineStr">
        <is>
          <t xml:space="preserve"> • zapojenie: spájkovateľné 
 • napätie: 12 V DC 
 • zaťažiteľnosť: 200 A 
 • rozmery: 150 mm 
 • ďalšie informácie: červená</t>
        </is>
      </c>
    </row>
    <row r="1317">
      <c r="A1317" s="3" t="inlineStr">
        <is>
          <t>DC 1K</t>
        </is>
      </c>
      <c r="B1317" s="2" t="inlineStr">
        <is>
          <t>Spínač DC s prípojkami, 12 V, 2 x cca. 15 cm kábel</t>
        </is>
      </c>
      <c r="C1317" s="1" t="n">
        <v>2.79</v>
      </c>
      <c r="D1317" s="7" t="n">
        <f>HYPERLINK("https://www.somogyi.sk/product/spinac-dc-s-pripojkami-12-v-2-x-cca-15-cm-kabel-dc-1k-15056","https://www.somogyi.sk/product/spinac-dc-s-pripojkami-12-v-2-x-cca-15-cm-kabel-dc-1k-15056")</f>
        <v>0.0</v>
      </c>
      <c r="E1317" s="7" t="n">
        <f>HYPERLINK("https://www.somogyi.sk/data/img/product_main_images/small/15056.jpg","https://www.somogyi.sk/data/img/product_main_images/small/15056.jpg")</f>
        <v>0.0</v>
      </c>
      <c r="F1317" s="2" t="inlineStr">
        <is>
          <t>5999084930905</t>
        </is>
      </c>
      <c r="G1317" s="4" t="inlineStr">
        <is>
          <t xml:space="preserve"> • prípojka: 2,1 x 5,5 mm 
 • napätie: 12 V 
 • zaťažiteľnosť: 3 A 
 • dĺžka kábla: 2 x cca. 15 cm kábel, zásuvka + vidlica 
 • ďalšie informácie: 12 V spínač medzi káblami</t>
        </is>
      </c>
    </row>
    <row r="1318">
      <c r="A1318" s="3" t="inlineStr">
        <is>
          <t>VBC 100/BK</t>
        </is>
      </c>
      <c r="B1318" s="2" t="inlineStr">
        <is>
          <t>Akumulátorová svorka, 100A, 110mm, čierna</t>
        </is>
      </c>
      <c r="C1318" s="1" t="n">
        <v>1.69</v>
      </c>
      <c r="D1318" s="7" t="n">
        <f>HYPERLINK("https://www.somogyi.sk/product/akumulatorova-svorka-100a-110mm-cierna-vbc-100-bk-4214","https://www.somogyi.sk/product/akumulatorova-svorka-100a-110mm-cierna-vbc-100-bk-4214")</f>
        <v>0.0</v>
      </c>
      <c r="E1318" s="7" t="n">
        <f>HYPERLINK("https://www.somogyi.sk/data/img/product_main_images/small/04214.jpg","https://www.somogyi.sk/data/img/product_main_images/small/04214.jpg")</f>
        <v>0.0</v>
      </c>
      <c r="F1318" s="2" t="inlineStr">
        <is>
          <t>5998312737453</t>
        </is>
      </c>
      <c r="G1318" s="4" t="inlineStr">
        <is>
          <t xml:space="preserve"> • zapojenie: spájkovateľné 
 • napätie: 12 V DC 
 • zaťažiteľnosť: 100 A 
 • rozmery: 110 mm 
 • ďalšie informácie: čierna</t>
        </is>
      </c>
    </row>
    <row r="1319">
      <c r="A1319" s="3" t="inlineStr">
        <is>
          <t>BH 036</t>
        </is>
      </c>
      <c r="B1319" s="2" t="inlineStr">
        <is>
          <t>Prípojka k 9 V batérii</t>
        </is>
      </c>
      <c r="C1319" s="1" t="n">
        <v>0.49</v>
      </c>
      <c r="D1319" s="7" t="n">
        <f>HYPERLINK("https://www.somogyi.sk/product/pripojka-k-9-v-baterii-bh-036-1725","https://www.somogyi.sk/product/pripojka-k-9-v-baterii-bh-036-1725")</f>
        <v>0.0</v>
      </c>
      <c r="E1319" s="7" t="n">
        <f>HYPERLINK("https://www.somogyi.sk/data/img/product_main_images/small/01725.jpg","https://www.somogyi.sk/data/img/product_main_images/small/01725.jpg")</f>
        <v>0.0</v>
      </c>
      <c r="F1319" s="2" t="inlineStr">
        <is>
          <t>5998312701492</t>
        </is>
      </c>
      <c r="G1319" s="4" t="inlineStr">
        <is>
          <t xml:space="preserve"> • prípojka: k 9 V batérii 
 • zapojenie: spájkovateľné 
 • materiál krytu: plast 
 • dĺžka kábla: 15 cm</t>
        </is>
      </c>
    </row>
    <row r="1320">
      <c r="A1320" s="3" t="inlineStr">
        <is>
          <t>VCC 3/RD</t>
        </is>
      </c>
      <c r="B1320" s="2" t="inlineStr">
        <is>
          <t>Krokosvorka, 55mm, červená</t>
        </is>
      </c>
      <c r="C1320" s="1" t="n">
        <v>0.29</v>
      </c>
      <c r="D1320" s="7" t="n">
        <f>HYPERLINK("https://www.somogyi.sk/product/krokosvorka-55mm-cervena-vcc-3-rd-2054","https://www.somogyi.sk/product/krokosvorka-55mm-cervena-vcc-3-rd-2054")</f>
        <v>0.0</v>
      </c>
      <c r="E1320" s="7" t="n">
        <f>HYPERLINK("https://www.somogyi.sk/data/img/product_main_images/small/02054.jpg","https://www.somogyi.sk/data/img/product_main_images/small/02054.jpg")</f>
        <v>0.0</v>
      </c>
      <c r="F1320" s="2" t="inlineStr">
        <is>
          <t>5998312722756</t>
        </is>
      </c>
      <c r="G1320" s="4" t="inlineStr">
        <is>
          <t xml:space="preserve"> • zapojenie: spájkovateľné 
 • rozmery: 55 mm 
 • ďalšie informácie: červená</t>
        </is>
      </c>
    </row>
    <row r="1321">
      <c r="A1321" s="3" t="inlineStr">
        <is>
          <t>VBC 7/BK</t>
        </is>
      </c>
      <c r="B1321" s="2" t="inlineStr">
        <is>
          <t>Akumulátorová svorka, 50A, 100mm, čierna</t>
        </is>
      </c>
      <c r="C1321" s="1" t="n">
        <v>0.99</v>
      </c>
      <c r="D1321" s="7" t="n">
        <f>HYPERLINK("https://www.somogyi.sk/product/akumulatorova-svorka-50a-100mm-cierna-vbc-7-bk-2083","https://www.somogyi.sk/product/akumulatorova-svorka-50a-100mm-cierna-vbc-7-bk-2083")</f>
        <v>0.0</v>
      </c>
      <c r="E1321" s="7" t="n">
        <f>HYPERLINK("https://www.somogyi.sk/data/img/product_main_images/small/02083.jpg","https://www.somogyi.sk/data/img/product_main_images/small/02083.jpg")</f>
        <v>0.0</v>
      </c>
      <c r="F1321" s="2" t="inlineStr">
        <is>
          <t>5998312723173</t>
        </is>
      </c>
      <c r="G1321" s="4" t="inlineStr">
        <is>
          <t xml:space="preserve"> • zapojenie: spájkovateľné 
 • napätie: 12 V DC 
 • zaťažiteľnosť: 50 A 
 • rozmery: 100 mm 
 • ďalšie informácie: čierna</t>
        </is>
      </c>
    </row>
    <row r="1322">
      <c r="A1322" s="3" t="inlineStr">
        <is>
          <t>DC 2CS</t>
        </is>
      </c>
      <c r="B1322" s="2" t="inlineStr">
        <is>
          <t>Prípojky DC s radovou svorkou</t>
        </is>
      </c>
      <c r="C1322" s="1" t="n">
        <v>1.69</v>
      </c>
      <c r="D1322" s="7" t="n">
        <f>HYPERLINK("https://www.somogyi.sk/product/pripojky-dc-s-radovou-svorkou-dc-2cs-15057","https://www.somogyi.sk/product/pripojky-dc-s-radovou-svorkou-dc-2cs-15057")</f>
        <v>0.0</v>
      </c>
      <c r="E1322" s="7" t="n">
        <f>HYPERLINK("https://www.somogyi.sk/data/img/product_main_images/small/15057.jpg","https://www.somogyi.sk/data/img/product_main_images/small/15057.jpg")</f>
        <v>0.0</v>
      </c>
      <c r="F1322" s="2" t="inlineStr">
        <is>
          <t>5999084930912</t>
        </is>
      </c>
      <c r="G1322" s="4" t="inlineStr">
        <is>
          <t xml:space="preserve"> • prípojka: 2,1 x 5,5 mm 
 • zapojenie: radová svorka (skrutkovateľná) 
 • materiál krytu: plast 
 • napätie: 12 V DC 
 • zaťažiteľnosť: 3 A 
 • ďalšie informácie: zásuvka - vidlica v páre</t>
        </is>
      </c>
    </row>
    <row r="1323">
      <c r="A1323" s="3" t="inlineStr">
        <is>
          <t>VBC 100/RD</t>
        </is>
      </c>
      <c r="B1323" s="2" t="inlineStr">
        <is>
          <t>Akumulátorová svorka, 100A, 110mm, červená</t>
        </is>
      </c>
      <c r="C1323" s="1" t="n">
        <v>1.69</v>
      </c>
      <c r="D1323" s="7" t="n">
        <f>HYPERLINK("https://www.somogyi.sk/product/akumulatorova-svorka-100a-110mm-cervena-vbc-100-rd-4215","https://www.somogyi.sk/product/akumulatorova-svorka-100a-110mm-cervena-vbc-100-rd-4215")</f>
        <v>0.0</v>
      </c>
      <c r="E1323" s="7" t="n">
        <f>HYPERLINK("https://www.somogyi.sk/data/img/product_main_images/small/04215.jpg","https://www.somogyi.sk/data/img/product_main_images/small/04215.jpg")</f>
        <v>0.0</v>
      </c>
      <c r="F1323" s="2" t="inlineStr">
        <is>
          <t>5998312737460</t>
        </is>
      </c>
      <c r="G1323" s="4" t="inlineStr">
        <is>
          <t xml:space="preserve"> • zapojenie: spájkovateľné 
 • napätie: 12 V DC 
 • zaťažiteľnosť: 100 A 
 • rozmery: 110 mm 
 • ďalšie informácie: červená</t>
        </is>
      </c>
    </row>
    <row r="1324">
      <c r="A1324" s="3" t="inlineStr">
        <is>
          <t>VCC 3/BK</t>
        </is>
      </c>
      <c r="B1324" s="2" t="inlineStr">
        <is>
          <t>Krokosvorka, 55mm, čierna</t>
        </is>
      </c>
      <c r="C1324" s="1" t="n">
        <v>0.29</v>
      </c>
      <c r="D1324" s="7" t="n">
        <f>HYPERLINK("https://www.somogyi.sk/product/krokosvorka-55mm-cierna-vcc-3-bk-2055","https://www.somogyi.sk/product/krokosvorka-55mm-cierna-vcc-3-bk-2055")</f>
        <v>0.0</v>
      </c>
      <c r="E1324" s="7" t="n">
        <f>HYPERLINK("https://www.somogyi.sk/data/img/product_main_images/small/02055.jpg","https://www.somogyi.sk/data/img/product_main_images/small/02055.jpg")</f>
        <v>0.0</v>
      </c>
      <c r="F1324" s="2" t="inlineStr">
        <is>
          <t>5998312722770</t>
        </is>
      </c>
      <c r="G1324" s="4" t="inlineStr">
        <is>
          <t xml:space="preserve"> • zapojenie: spájkovateľné 
 • rozmery: 55 mm 
 • ďalšie informácie: čierna</t>
        </is>
      </c>
    </row>
    <row r="1325">
      <c r="A1325" s="3" t="inlineStr">
        <is>
          <t>VBC 30/RD</t>
        </is>
      </c>
      <c r="B1325" s="2" t="inlineStr">
        <is>
          <t>Akumulátorová svorka, 30A, 75mm, červená</t>
        </is>
      </c>
      <c r="C1325" s="1" t="n">
        <v>0.59</v>
      </c>
      <c r="D1325" s="7" t="n">
        <f>HYPERLINK("https://www.somogyi.sk/product/akumulatorova-svorka-30a-75mm-cervena-vbc-30-rd-4212","https://www.somogyi.sk/product/akumulatorova-svorka-30a-75mm-cervena-vbc-30-rd-4212")</f>
        <v>0.0</v>
      </c>
      <c r="E1325" s="7" t="n">
        <f>HYPERLINK("https://www.somogyi.sk/data/img/product_main_images/small/04212.jpg","https://www.somogyi.sk/data/img/product_main_images/small/04212.jpg")</f>
        <v>0.0</v>
      </c>
      <c r="F1325" s="2" t="inlineStr">
        <is>
          <t>5998312737439</t>
        </is>
      </c>
      <c r="G1325" s="4" t="inlineStr">
        <is>
          <t xml:space="preserve"> • zapojenie: spájkovateľné 
 • napätie: 12 V DC 
 • zaťažiteľnosť: 30 A 
 • rozmery: 75 mm 
 • ďalšie informácie: červená</t>
        </is>
      </c>
    </row>
    <row r="1326">
      <c r="A1326" s="3" t="inlineStr">
        <is>
          <t>VBC 7/RD</t>
        </is>
      </c>
      <c r="B1326" s="2" t="inlineStr">
        <is>
          <t>Akumulátorová svorka, 50A, 100mm, červená</t>
        </is>
      </c>
      <c r="C1326" s="1" t="n">
        <v>0.99</v>
      </c>
      <c r="D1326" s="7" t="n">
        <f>HYPERLINK("https://www.somogyi.sk/product/akumulatorova-svorka-50a-100mm-cervena-vbc-7-rd-1954","https://www.somogyi.sk/product/akumulatorova-svorka-50a-100mm-cervena-vbc-7-rd-1954")</f>
        <v>0.0</v>
      </c>
      <c r="E1326" s="7" t="n">
        <f>HYPERLINK("https://www.somogyi.sk/data/img/product_main_images/small/01954.jpg","https://www.somogyi.sk/data/img/product_main_images/small/01954.jpg")</f>
        <v>0.0</v>
      </c>
      <c r="F1326" s="2" t="inlineStr">
        <is>
          <t>5998312705704</t>
        </is>
      </c>
      <c r="G1326" s="4" t="inlineStr">
        <is>
          <t xml:space="preserve"> • zapojenie: spájkovateľné 
 • napätie: 12 V DC 
 • zaťažiteľnosť: 50 A 
 • rozmery: 100 mm 
 • ďalšie informácie: červená</t>
        </is>
      </c>
    </row>
    <row r="1327">
      <c r="A1327" s="3" t="inlineStr">
        <is>
          <t>ALC 4/RD</t>
        </is>
      </c>
      <c r="B1327" s="2" t="inlineStr">
        <is>
          <t>Akumulátorová svorka, červená, banániková zásuvka</t>
        </is>
      </c>
      <c r="C1327" s="1" t="n">
        <v>0.39</v>
      </c>
      <c r="D1327" s="7" t="n">
        <f>HYPERLINK("https://www.somogyi.sk/product/akumulatorova-svorka-cervena-bananikova-zasuvka-alc-4-rd-2056","https://www.somogyi.sk/product/akumulatorova-svorka-cervena-bananikova-zasuvka-alc-4-rd-2056")</f>
        <v>0.0</v>
      </c>
      <c r="E1327" s="7" t="n">
        <f>HYPERLINK("https://www.somogyi.sk/data/img/product_main_images/small/02056.jpg","https://www.somogyi.sk/data/img/product_main_images/small/02056.jpg")</f>
        <v>0.0</v>
      </c>
      <c r="F1327" s="2" t="inlineStr">
        <is>
          <t>5998312722794</t>
        </is>
      </c>
      <c r="G1327" s="4" t="inlineStr">
        <is>
          <t xml:space="preserve"> • zapojenie: banániková zásuvka / skrutkovateľné 
 • rozmery: 65 mm 
 • ďalšie informácie: červená</t>
        </is>
      </c>
    </row>
    <row r="1328">
      <c r="A1328" s="3" t="inlineStr">
        <is>
          <t>ALC 4/BK</t>
        </is>
      </c>
      <c r="B1328" s="2" t="inlineStr">
        <is>
          <t>Akumulátorová svorka, čierná, banániková zásuvka</t>
        </is>
      </c>
      <c r="C1328" s="1" t="n">
        <v>0.39</v>
      </c>
      <c r="D1328" s="7" t="n">
        <f>HYPERLINK("https://www.somogyi.sk/product/akumulatorova-svorka-cierna-bananikova-zasuvka-alc-4-bk-2057","https://www.somogyi.sk/product/akumulatorova-svorka-cierna-bananikova-zasuvka-alc-4-bk-2057")</f>
        <v>0.0</v>
      </c>
      <c r="E1328" s="7" t="n">
        <f>HYPERLINK("https://www.somogyi.sk/data/img/product_main_images/small/02057.jpg","https://www.somogyi.sk/data/img/product_main_images/small/02057.jpg")</f>
        <v>0.0</v>
      </c>
      <c r="F1328" s="2" t="inlineStr">
        <is>
          <t>5998312722817</t>
        </is>
      </c>
      <c r="G1328" s="4" t="inlineStr">
        <is>
          <t xml:space="preserve"> • zapojenie: banániková zásuvka / skrutkovateľné 
 • rozmery: 65 mm 
 • ďalšie informácie: čierna</t>
        </is>
      </c>
    </row>
    <row r="1329">
      <c r="A1329" s="3" t="inlineStr">
        <is>
          <t>ALC 44X</t>
        </is>
      </c>
      <c r="B1329" s="2" t="inlineStr">
        <is>
          <t>Akumulátorové kliešte /červené+čierne</t>
        </is>
      </c>
      <c r="C1329" s="1" t="n">
        <v>0.99</v>
      </c>
      <c r="D1329" s="7" t="n">
        <f>HYPERLINK("https://www.somogyi.sk/product/akumulatorove-klieste-cervene-cierne-alc-44x-2270","https://www.somogyi.sk/product/akumulatorove-klieste-cervene-cierne-alc-44x-2270")</f>
        <v>0.0</v>
      </c>
      <c r="E1329" s="7" t="n">
        <f>HYPERLINK("https://www.somogyi.sk/data/img/product_main_images/small/02270.jpg","https://www.somogyi.sk/data/img/product_main_images/small/02270.jpg")</f>
        <v>0.0</v>
      </c>
      <c r="F1329" s="2" t="inlineStr">
        <is>
          <t>5998312725368</t>
        </is>
      </c>
      <c r="G1329" s="4" t="inlineStr">
        <is>
          <t xml:space="preserve"> • prípojka: 2 x ALC 4 krokosvorky 
 • zapojenie: banániková zásuvka / skrutkovateľná 
 • rozmery: 65 mm 
 • ďalšie informácie: čierna + červená 
 • blister: áno</t>
        </is>
      </c>
    </row>
    <row r="1330">
      <c r="A1330" s="3" t="inlineStr">
        <is>
          <t>VBC 200/BK</t>
        </is>
      </c>
      <c r="B1330" s="2" t="inlineStr">
        <is>
          <t>Akumulátorová svorka, 200A, 150mm, čierna</t>
        </is>
      </c>
      <c r="C1330" s="1" t="n">
        <v>3.09</v>
      </c>
      <c r="D1330" s="7" t="n">
        <f>HYPERLINK("https://www.somogyi.sk/product/akumulatorova-svorka-200a-150mm-cierna-vbc-200-bk-4742","https://www.somogyi.sk/product/akumulatorova-svorka-200a-150mm-cierna-vbc-200-bk-4742")</f>
        <v>0.0</v>
      </c>
      <c r="E1330" s="7" t="n">
        <f>HYPERLINK("https://www.somogyi.sk/data/img/product_main_images/small/04742.jpg","https://www.somogyi.sk/data/img/product_main_images/small/04742.jpg")</f>
        <v>0.0</v>
      </c>
      <c r="F1330" s="2" t="inlineStr">
        <is>
          <t>5998312741863</t>
        </is>
      </c>
      <c r="G1330" s="4" t="inlineStr">
        <is>
          <t xml:space="preserve"> • zapojenie: spájkovateľné 
 • napätie: 12 V DC 
 • zaťažiteľnosť: 200 A 
 • rozmery: 150 mm 
 • ďalšie informácie: čierna</t>
        </is>
      </c>
    </row>
    <row r="1331">
      <c r="A1331" s="3" t="inlineStr">
        <is>
          <t>VBC 30/BK</t>
        </is>
      </c>
      <c r="B1331" s="2" t="inlineStr">
        <is>
          <t>Akumulátorová svorka, 30A, 75mm, čierna</t>
        </is>
      </c>
      <c r="C1331" s="1" t="n">
        <v>0.59</v>
      </c>
      <c r="D1331" s="7" t="n">
        <f>HYPERLINK("https://www.somogyi.sk/product/akumulatorova-svorka-30a-75mm-cierna-vbc-30-bk-4213","https://www.somogyi.sk/product/akumulatorova-svorka-30a-75mm-cierna-vbc-30-bk-4213")</f>
        <v>0.0</v>
      </c>
      <c r="E1331" s="7" t="n">
        <f>HYPERLINK("https://www.somogyi.sk/data/img/product_main_images/small/04213.jpg","https://www.somogyi.sk/data/img/product_main_images/small/04213.jpg")</f>
        <v>0.0</v>
      </c>
      <c r="F1331" s="2" t="inlineStr">
        <is>
          <t>5998312737446</t>
        </is>
      </c>
      <c r="G1331" s="4" t="inlineStr">
        <is>
          <t xml:space="preserve"> • zapojenie: spájkovateľné 
 • napätie: 12 V DC 
 • zaťažiteľnosť: 30 A 
 • rozmery: 75 mm 
 • ďalšie informácie: čierna</t>
        </is>
      </c>
    </row>
    <row r="1332">
      <c r="A1332" s="6" t="inlineStr">
        <is>
          <t xml:space="preserve">   Audio-video doplnky / Svorka bez izolácie</t>
        </is>
      </c>
      <c r="B1332" s="6" t="inlineStr">
        <is>
          <t/>
        </is>
      </c>
      <c r="C1332" s="6" t="inlineStr">
        <is>
          <t/>
        </is>
      </c>
      <c r="D1332" s="6" t="inlineStr">
        <is>
          <t/>
        </is>
      </c>
      <c r="E1332" s="6" t="inlineStr">
        <is>
          <t/>
        </is>
      </c>
      <c r="F1332" s="6" t="inlineStr">
        <is>
          <t/>
        </is>
      </c>
      <c r="G1332" s="6" t="inlineStr">
        <is>
          <t/>
        </is>
      </c>
    </row>
    <row r="1333">
      <c r="A1333" s="3" t="inlineStr">
        <is>
          <t>KSH 4,8-0,5/Sn</t>
        </is>
      </c>
      <c r="B1333" s="2" t="inlineStr">
        <is>
          <t>Káblová svorka, 4,8x0,5, zásuvka, cínovaná meď</t>
        </is>
      </c>
      <c r="C1333" s="1" t="n">
        <v>0.09</v>
      </c>
      <c r="D1333" s="7" t="n">
        <f>HYPERLINK("https://www.somogyi.sk/product/kablova-svorka-4-8x0-5-zasuvka-cinovana-med-ksh-4-8-0-5-sn-5131","https://www.somogyi.sk/product/kablova-svorka-4-8x0-5-zasuvka-cinovana-med-ksh-4-8-0-5-sn-5131")</f>
        <v>0.0</v>
      </c>
      <c r="E1333" s="7" t="n">
        <f>HYPERLINK("https://www.somogyi.sk/data/img/product_main_images/small/05131.jpg","https://www.somogyi.sk/data/img/product_main_images/small/05131.jpg")</f>
        <v>0.0</v>
      </c>
      <c r="F1333" s="2" t="inlineStr">
        <is>
          <t>5998312745199</t>
        </is>
      </c>
      <c r="G1333" s="4" t="inlineStr">
        <is>
          <t xml:space="preserve"> • materiál: meď 
 • rozmery: 4,8 x 0,5 mm 
 • prierez kábla: 0,5 - 1 mm²</t>
        </is>
      </c>
    </row>
    <row r="1334">
      <c r="A1334" s="3" t="inlineStr">
        <is>
          <t>KSH 6,3-0,5/Cu</t>
        </is>
      </c>
      <c r="B1334" s="2" t="inlineStr">
        <is>
          <t>Káblová svorka, 6,3x0,5, zásuvka, meď</t>
        </is>
      </c>
      <c r="C1334" s="1" t="n">
        <v>0.09</v>
      </c>
      <c r="D1334" s="7" t="n">
        <f>HYPERLINK("https://www.somogyi.sk/product/kablova-svorka-6-3x0-5-zasuvka-med-ksh-6-3-0-5-cu-5132","https://www.somogyi.sk/product/kablova-svorka-6-3x0-5-zasuvka-med-ksh-6-3-0-5-cu-5132")</f>
        <v>0.0</v>
      </c>
      <c r="E1334" s="7" t="n">
        <f>HYPERLINK("https://www.somogyi.sk/data/img/product_main_images/small/05132.jpg","https://www.somogyi.sk/data/img/product_main_images/small/05132.jpg")</f>
        <v>0.0</v>
      </c>
      <c r="F1334" s="2" t="inlineStr">
        <is>
          <t>5998312745205</t>
        </is>
      </c>
      <c r="G1334" s="4" t="inlineStr">
        <is>
          <t xml:space="preserve"> • materiál: pocínovaná meď 
 • rozmery: 4,8 x 0,5 mm 
 • prierez kábla: 0,5 - 1 mm²</t>
        </is>
      </c>
    </row>
    <row r="1335">
      <c r="A1335" s="3" t="inlineStr">
        <is>
          <t>KSH 2,8-0,5/Sn</t>
        </is>
      </c>
      <c r="B1335" s="2" t="inlineStr">
        <is>
          <t>Káblová svorka, 2,8x0,5, zásuvka, cínovaná meď</t>
        </is>
      </c>
      <c r="C1335" s="1" t="n">
        <v>0.09</v>
      </c>
      <c r="D1335" s="7" t="n">
        <f>HYPERLINK("https://www.somogyi.sk/product/kablova-svorka-2-8x0-5-zasuvka-cinovana-med-ksh-2-8-0-5-sn-5127","https://www.somogyi.sk/product/kablova-svorka-2-8x0-5-zasuvka-cinovana-med-ksh-2-8-0-5-sn-5127")</f>
        <v>0.0</v>
      </c>
      <c r="E1335" s="7" t="n">
        <f>HYPERLINK("https://www.somogyi.sk/data/img/product_main_images/small/05127.jpg","https://www.somogyi.sk/data/img/product_main_images/small/05127.jpg")</f>
        <v>0.0</v>
      </c>
      <c r="F1335" s="2" t="inlineStr">
        <is>
          <t>5998312745151</t>
        </is>
      </c>
      <c r="G1335" s="4" t="inlineStr">
        <is>
          <t xml:space="preserve"> • materiál: meď 
 • rozmery: 2,8 x 0,5 mm 
 • prierez kábla: 0,5 - 1 mm²</t>
        </is>
      </c>
    </row>
    <row r="1336">
      <c r="A1336" s="3" t="inlineStr">
        <is>
          <t>KSH 2,8-0,5/Cu</t>
        </is>
      </c>
      <c r="B1336" s="2" t="inlineStr">
        <is>
          <t>Káblová svorka, 2,8x0,5, zásuvka, meď</t>
        </is>
      </c>
      <c r="C1336" s="1" t="n">
        <v>0.09</v>
      </c>
      <c r="D1336" s="7" t="n">
        <f>HYPERLINK("https://www.somogyi.sk/product/kablova-svorka-2-8x0-5-zasuvka-med-ksh-2-8-0-5-cu-5126","https://www.somogyi.sk/product/kablova-svorka-2-8x0-5-zasuvka-med-ksh-2-8-0-5-cu-5126")</f>
        <v>0.0</v>
      </c>
      <c r="E1336" s="7" t="n">
        <f>HYPERLINK("https://www.somogyi.sk/data/img/product_main_images/small/05126.jpg","https://www.somogyi.sk/data/img/product_main_images/small/05126.jpg")</f>
        <v>0.0</v>
      </c>
      <c r="F1336" s="2" t="inlineStr">
        <is>
          <t>5998312745144</t>
        </is>
      </c>
      <c r="G1336" s="4" t="inlineStr">
        <is>
          <t xml:space="preserve"> • materiál: pocínovaná meď 
 • rozmery: 6,3 x 0,8 mm 
 • prierez kábla: 0,5 - 1 mm²</t>
        </is>
      </c>
    </row>
    <row r="1337">
      <c r="A1337" s="3" t="inlineStr">
        <is>
          <t>KSD 6,3-0,8/Cu</t>
        </is>
      </c>
      <c r="B1337" s="2" t="inlineStr">
        <is>
          <t>Káblová svorka, 6,3x0,8, vidlica, meď</t>
        </is>
      </c>
      <c r="C1337" s="1" t="n">
        <v>0.09</v>
      </c>
      <c r="D1337" s="7" t="n">
        <f>HYPERLINK("https://www.somogyi.sk/product/kablova-svorka-6-3x0-8-vidlica-med-ksd-6-3-0-8-cu-5136","https://www.somogyi.sk/product/kablova-svorka-6-3x0-8-vidlica-med-ksd-6-3-0-8-cu-5136")</f>
        <v>0.0</v>
      </c>
      <c r="E1337" s="7" t="n">
        <f>HYPERLINK("https://www.somogyi.sk/data/img/product_main_images/small/05136.jpg","https://www.somogyi.sk/data/img/product_main_images/small/05136.jpg")</f>
        <v>0.0</v>
      </c>
      <c r="F1337" s="2" t="inlineStr">
        <is>
          <t>5998312745243</t>
        </is>
      </c>
      <c r="G1337" s="4" t="inlineStr">
        <is>
          <t xml:space="preserve"> • materiál: pocínovaná meď 
 • rozmery: 4,8 x 0,5 mm 
 • prierez kábla: 0,5 - 1 mm²</t>
        </is>
      </c>
    </row>
    <row r="1338">
      <c r="A1338" s="3" t="inlineStr">
        <is>
          <t>KSH 4,8-0,5/Cu</t>
        </is>
      </c>
      <c r="B1338" s="2" t="inlineStr">
        <is>
          <t>Káblová svorka, 4,8x0,5, zásuvka, meď</t>
        </is>
      </c>
      <c r="C1338" s="1" t="n">
        <v>0.09</v>
      </c>
      <c r="D1338" s="7" t="n">
        <f>HYPERLINK("https://www.somogyi.sk/product/kablova-svorka-4-8x0-5-zasuvka-med-ksh-4-8-0-5-cu-5130","https://www.somogyi.sk/product/kablova-svorka-4-8x0-5-zasuvka-med-ksh-4-8-0-5-cu-5130")</f>
        <v>0.0</v>
      </c>
      <c r="E1338" s="7" t="n">
        <f>HYPERLINK("https://www.somogyi.sk/data/img/product_main_images/small/05130.jpg","https://www.somogyi.sk/data/img/product_main_images/small/05130.jpg")</f>
        <v>0.0</v>
      </c>
      <c r="F1338" s="2" t="inlineStr">
        <is>
          <t>5998312745182</t>
        </is>
      </c>
      <c r="G1338" s="4" t="inlineStr">
        <is>
          <t xml:space="preserve"> • materiál: pocínovaná meď 
 • rozmery: 2,8 x 0,5 mm 
 • prierez kábla: 0,5 - 1 mm²</t>
        </is>
      </c>
    </row>
    <row r="1339">
      <c r="A1339" s="3" t="inlineStr">
        <is>
          <t>KSD 4,8-0,5/Cu</t>
        </is>
      </c>
      <c r="B1339" s="2" t="inlineStr">
        <is>
          <t>Káblová svorka, 4,8x0,8, vidlica, meď</t>
        </is>
      </c>
      <c r="C1339" s="1" t="n">
        <v>0.09</v>
      </c>
      <c r="D1339" s="7" t="n">
        <f>HYPERLINK("https://www.somogyi.sk/product/kablova-svorka-4-8x0-8-vidlica-med-ksd-4-8-0-5-cu-5134","https://www.somogyi.sk/product/kablova-svorka-4-8x0-8-vidlica-med-ksd-4-8-0-5-cu-5134")</f>
        <v>0.0</v>
      </c>
      <c r="E1339" s="7" t="n">
        <f>HYPERLINK("https://www.somogyi.sk/data/img/product_main_images/small/05134.jpg","https://www.somogyi.sk/data/img/product_main_images/small/05134.jpg")</f>
        <v>0.0</v>
      </c>
      <c r="F1339" s="2" t="inlineStr">
        <is>
          <t>5998312745229</t>
        </is>
      </c>
      <c r="G1339" s="4" t="inlineStr">
        <is>
          <t xml:space="preserve"> • materiál: pocínovaná meď 
 • rozmery: 2,8 x 0,5 mm 
 • prierez kábla: 0,5 - 1 mm²</t>
        </is>
      </c>
    </row>
    <row r="1340">
      <c r="A1340" s="3" t="inlineStr">
        <is>
          <t>KSH 6,3-0,5/Sn</t>
        </is>
      </c>
      <c r="B1340" s="2" t="inlineStr">
        <is>
          <t>Káblová svorka, 6,3x0,5, zásuvka, cínovaná meď</t>
        </is>
      </c>
      <c r="C1340" s="1" t="n">
        <v>0.09</v>
      </c>
      <c r="D1340" s="7" t="n">
        <f>HYPERLINK("https://www.somogyi.sk/product/kablova-svorka-6-3x0-5-zasuvka-cinovana-med-ksh-6-3-0-5-sn-5133","https://www.somogyi.sk/product/kablova-svorka-6-3x0-5-zasuvka-cinovana-med-ksh-6-3-0-5-sn-5133")</f>
        <v>0.0</v>
      </c>
      <c r="E1340" s="7" t="n">
        <f>HYPERLINK("https://www.somogyi.sk/data/img/product_main_images/small/05133.jpg","https://www.somogyi.sk/data/img/product_main_images/small/05133.jpg")</f>
        <v>0.0</v>
      </c>
      <c r="F1340" s="2" t="inlineStr">
        <is>
          <t>5998312745212</t>
        </is>
      </c>
      <c r="G1340" s="4" t="inlineStr">
        <is>
          <t xml:space="preserve"> • materiál: meď 
 • rozmery: 6,3 x 0,5 mm 
 • prierez kábla: 0,5 - 1 mm²</t>
        </is>
      </c>
    </row>
    <row r="1341">
      <c r="A1341" s="3" t="inlineStr">
        <is>
          <t>KSD 2,8-0,5/Cu</t>
        </is>
      </c>
      <c r="B1341" s="2" t="inlineStr">
        <is>
          <t>Káblová svorka, 2,8x0,8, vidlica, meď</t>
        </is>
      </c>
      <c r="C1341" s="1" t="n">
        <v>0.09</v>
      </c>
      <c r="D1341" s="7" t="n">
        <f>HYPERLINK("https://www.somogyi.sk/product/kablova-svorka-2-8x0-8-vidlica-med-ksd-2-8-0-5-cu-5128","https://www.somogyi.sk/product/kablova-svorka-2-8x0-8-vidlica-med-ksd-2-8-0-5-cu-5128")</f>
        <v>0.0</v>
      </c>
      <c r="E1341" s="7" t="n">
        <f>HYPERLINK("https://www.somogyi.sk/data/img/product_main_images/small/05128.jpg","https://www.somogyi.sk/data/img/product_main_images/small/05128.jpg")</f>
        <v>0.0</v>
      </c>
      <c r="F1341" s="2" t="inlineStr">
        <is>
          <t>5998312745168</t>
        </is>
      </c>
      <c r="G1341" s="4" t="inlineStr">
        <is>
          <t xml:space="preserve"> • materiál: materiál 
 • rozmery: rozmery 
 • prierez kábla: prierez kábla</t>
        </is>
      </c>
    </row>
    <row r="1342">
      <c r="A1342" s="6" t="inlineStr">
        <is>
          <t xml:space="preserve">   Audio-video doplnky / Objímka poistky</t>
        </is>
      </c>
      <c r="B1342" s="6" t="inlineStr">
        <is>
          <t/>
        </is>
      </c>
      <c r="C1342" s="6" t="inlineStr">
        <is>
          <t/>
        </is>
      </c>
      <c r="D1342" s="6" t="inlineStr">
        <is>
          <t/>
        </is>
      </c>
      <c r="E1342" s="6" t="inlineStr">
        <is>
          <t/>
        </is>
      </c>
      <c r="F1342" s="6" t="inlineStr">
        <is>
          <t/>
        </is>
      </c>
      <c r="G1342" s="6" t="inlineStr">
        <is>
          <t/>
        </is>
      </c>
    </row>
    <row r="1343">
      <c r="A1343" s="3" t="inlineStr">
        <is>
          <t>BF 52B</t>
        </is>
      </c>
      <c r="B1343" s="2" t="inlineStr">
        <is>
          <t>Objímka pre poistku, 5x20mm, zabudovateľná</t>
        </is>
      </c>
      <c r="C1343" s="1" t="n">
        <v>1.09</v>
      </c>
      <c r="D1343" s="7" t="n">
        <f>HYPERLINK("https://www.somogyi.sk/product/objimka-pre-poistku-5x20mm-zabudovatelna-bf-52b-1718","https://www.somogyi.sk/product/objimka-pre-poistku-5x20mm-zabudovatelna-bf-52b-1718")</f>
        <v>0.0</v>
      </c>
      <c r="E1343" s="7" t="n">
        <f>HYPERLINK("https://www.somogyi.sk/data/img/product_main_images/small/01718.jpg","https://www.somogyi.sk/data/img/product_main_images/small/01718.jpg")</f>
        <v>0.0</v>
      </c>
      <c r="F1343" s="2" t="inlineStr">
        <is>
          <t>5998312701409</t>
        </is>
      </c>
      <c r="G1343" s="4" t="inlineStr">
        <is>
          <t xml:space="preserve"> • rozmery poistky: 5 x 20 mm 
 • typ: zabudovateľná 
 • zakončenie objímky: skrutkovateľná</t>
        </is>
      </c>
    </row>
    <row r="1344">
      <c r="A1344" s="3" t="inlineStr">
        <is>
          <t>BF 53L</t>
        </is>
      </c>
      <c r="B1344" s="2" t="inlineStr">
        <is>
          <t>Objímka pre poistku, 5x20 mm, voľná, skrutkovateľná</t>
        </is>
      </c>
      <c r="C1344" s="1" t="n">
        <v>0.69</v>
      </c>
      <c r="D1344" s="7" t="n">
        <f>HYPERLINK("https://www.somogyi.sk/product/objimka-pre-poistku-5x20-mm-volna-skrutkovatelna-bf-53l-3272","https://www.somogyi.sk/product/objimka-pre-poistku-5x20-mm-volna-skrutkovatelna-bf-53l-3272")</f>
        <v>0.0</v>
      </c>
      <c r="E1344" s="7" t="n">
        <f>HYPERLINK("https://www.somogyi.sk/data/img/product_main_images/small/03272.jpg","https://www.somogyi.sk/data/img/product_main_images/small/03272.jpg")</f>
        <v>0.0</v>
      </c>
      <c r="F1344" s="2" t="inlineStr">
        <is>
          <t>5998312735961</t>
        </is>
      </c>
      <c r="G1344" s="4" t="inlineStr">
        <is>
          <t xml:space="preserve"> • rozmery poistky: 5 x 20 mm 
 • typ: voľná 
 • zakončenie objímky: skrutkovateľná</t>
        </is>
      </c>
    </row>
    <row r="1345">
      <c r="A1345" s="6" t="inlineStr">
        <is>
          <t xml:space="preserve">   Audio-video doplnky / Poistka</t>
        </is>
      </c>
      <c r="B1345" s="6" t="inlineStr">
        <is>
          <t/>
        </is>
      </c>
      <c r="C1345" s="6" t="inlineStr">
        <is>
          <t/>
        </is>
      </c>
      <c r="D1345" s="6" t="inlineStr">
        <is>
          <t/>
        </is>
      </c>
      <c r="E1345" s="6" t="inlineStr">
        <is>
          <t/>
        </is>
      </c>
      <c r="F1345" s="6" t="inlineStr">
        <is>
          <t/>
        </is>
      </c>
      <c r="G1345" s="6" t="inlineStr">
        <is>
          <t/>
        </is>
      </c>
    </row>
    <row r="1346">
      <c r="A1346" s="3" t="inlineStr">
        <is>
          <t>T2 A</t>
        </is>
      </c>
      <c r="B1346" s="2" t="inlineStr">
        <is>
          <t>Poistka, 5x20mm, pomalá, 2A</t>
        </is>
      </c>
      <c r="C1346" s="1" t="n">
        <v>0.29</v>
      </c>
      <c r="D1346" s="7" t="n">
        <f>HYPERLINK("https://www.somogyi.sk/product/poistka-5x20mm-pomala-2a-t2-a-1911","https://www.somogyi.sk/product/poistka-5x20mm-pomala-2a-t2-a-1911")</f>
        <v>0.0</v>
      </c>
      <c r="E1346" s="7" t="n">
        <f>HYPERLINK("https://www.somogyi.sk/data/img/product_main_images/small/01911.jpg","https://www.somogyi.sk/data/img/product_main_images/small/01911.jpg")</f>
        <v>0.0</v>
      </c>
      <c r="F1346" s="2" t="inlineStr">
        <is>
          <t>5998312704745</t>
        </is>
      </c>
      <c r="G1346" s="4" t="inlineStr">
        <is>
          <t xml:space="preserve"> • vlastnosť: pomalá 
 • rozmery: 5 x 20 mm 
 • napätie: 250 V~ 
 • prúd: 2 A</t>
        </is>
      </c>
    </row>
    <row r="1347">
      <c r="A1347" s="3" t="inlineStr">
        <is>
          <t>F2,5 A</t>
        </is>
      </c>
      <c r="B1347" s="2" t="inlineStr">
        <is>
          <t>Poistka, 5 x 20 mm, rýchla, 2,5A</t>
        </is>
      </c>
      <c r="C1347" s="1" t="n">
        <v>0.19</v>
      </c>
      <c r="D1347" s="7" t="n">
        <f>HYPERLINK("https://www.somogyi.sk/product/poistka-5-x-20-mm-rychla-2-5a-f2-5-a-1744","https://www.somogyi.sk/product/poistka-5-x-20-mm-rychla-2-5a-f2-5-a-1744")</f>
        <v>0.0</v>
      </c>
      <c r="E1347" s="7" t="n">
        <f>HYPERLINK("https://www.somogyi.sk/data/img/product_main_images/small/01744.jpg","https://www.somogyi.sk/data/img/product_main_images/small/01744.jpg")</f>
        <v>0.0</v>
      </c>
      <c r="F1347" s="2" t="inlineStr">
        <is>
          <t>5998312701966</t>
        </is>
      </c>
      <c r="G1347" s="4" t="inlineStr">
        <is>
          <t xml:space="preserve"> • vlastnosť: rýchla 
 • rozmery: 5 x 20 mm 
 • napätie: 250 V~ 
 • prúd: 2,5 A</t>
        </is>
      </c>
    </row>
    <row r="1348">
      <c r="A1348" s="3" t="inlineStr">
        <is>
          <t>F3,15 A</t>
        </is>
      </c>
      <c r="B1348" s="2" t="inlineStr">
        <is>
          <t>Poistka, 5 x 20 mm, rýchla, 3,15A</t>
        </is>
      </c>
      <c r="C1348" s="1" t="n">
        <v>0.19</v>
      </c>
      <c r="D1348" s="7" t="n">
        <f>HYPERLINK("https://www.somogyi.sk/product/poistka-5-x-20-mm-rychla-3-15a-f3-15-a-1747","https://www.somogyi.sk/product/poistka-5-x-20-mm-rychla-3-15a-f3-15-a-1747")</f>
        <v>0.0</v>
      </c>
      <c r="E1348" s="7" t="n">
        <f>HYPERLINK("https://www.somogyi.sk/data/img/product_main_images/small/01747.jpg","https://www.somogyi.sk/data/img/product_main_images/small/01747.jpg")</f>
        <v>0.0</v>
      </c>
      <c r="F1348" s="2" t="inlineStr">
        <is>
          <t>5998312701997</t>
        </is>
      </c>
      <c r="G1348" s="4" t="inlineStr">
        <is>
          <t xml:space="preserve"> • vlastnosť: rýchla 
 • rozmery: 5 x 20 mm 
 • napätie: 250 V~ 
 • prúd: 3,15 A</t>
        </is>
      </c>
    </row>
    <row r="1349">
      <c r="A1349" s="3" t="inlineStr">
        <is>
          <t>F1 A</t>
        </is>
      </c>
      <c r="B1349" s="2" t="inlineStr">
        <is>
          <t>Poistka, 5 x 20 mm, rýchla, 1A</t>
        </is>
      </c>
      <c r="C1349" s="1" t="n">
        <v>0.19</v>
      </c>
      <c r="D1349" s="7" t="n">
        <f>HYPERLINK("https://www.somogyi.sk/product/poistka-5-x-20-mm-rychla-1a-f1-a-1734","https://www.somogyi.sk/product/poistka-5-x-20-mm-rychla-1a-f1-a-1734")</f>
        <v>0.0</v>
      </c>
      <c r="E1349" s="7" t="n">
        <f>HYPERLINK("https://www.somogyi.sk/data/img/product_main_images/small/01734.jpg","https://www.somogyi.sk/data/img/product_main_images/small/01734.jpg")</f>
        <v>0.0</v>
      </c>
      <c r="F1349" s="2" t="inlineStr">
        <is>
          <t>5998312701867</t>
        </is>
      </c>
      <c r="G1349" s="4" t="inlineStr">
        <is>
          <t xml:space="preserve"> • vlastnosť: rýchla 
 • rozmery: 5 x 20 mm 
 • napätie: 250 V~ 
 • prúd: 1 A</t>
        </is>
      </c>
    </row>
    <row r="1350">
      <c r="A1350" s="3" t="inlineStr">
        <is>
          <t>T500 MA</t>
        </is>
      </c>
      <c r="B1350" s="2" t="inlineStr">
        <is>
          <t>Poistka, 5x20mm, pomalá, 500mA</t>
        </is>
      </c>
      <c r="C1350" s="1" t="n">
        <v>0.29</v>
      </c>
      <c r="D1350" s="7" t="n">
        <f>HYPERLINK("https://www.somogyi.sk/product/poistka-5x20mm-pomala-500ma-t500-ma-2016","https://www.somogyi.sk/product/poistka-5x20mm-pomala-500ma-t500-ma-2016")</f>
        <v>0.0</v>
      </c>
      <c r="E1350" s="7" t="n">
        <f>HYPERLINK("https://www.somogyi.sk/data/img/product_main_images/small/02016.jpg","https://www.somogyi.sk/data/img/product_main_images/small/02016.jpg")</f>
        <v>0.0</v>
      </c>
      <c r="F1350" s="2" t="inlineStr">
        <is>
          <t>5998312718223</t>
        </is>
      </c>
      <c r="G1350" s="4" t="inlineStr">
        <is>
          <t xml:space="preserve"> • vlastnosť: pomalá 
 • rozmery: 5 x 20 mm 
 • napätie: 250 V~ 
 • prúd: 500 mA</t>
        </is>
      </c>
    </row>
    <row r="1351">
      <c r="A1351" s="3" t="inlineStr">
        <is>
          <t>F5 A</t>
        </is>
      </c>
      <c r="B1351" s="2" t="inlineStr">
        <is>
          <t>Poistka, 5 x 20 mm, rýchla, 5A</t>
        </is>
      </c>
      <c r="C1351" s="1" t="n">
        <v>0.19</v>
      </c>
      <c r="D1351" s="7" t="n">
        <f>HYPERLINK("https://www.somogyi.sk/product/poistka-5-x-20-mm-rychla-5a-f5-a-1751","https://www.somogyi.sk/product/poistka-5-x-20-mm-rychla-5a-f5-a-1751")</f>
        <v>0.0</v>
      </c>
      <c r="E1351" s="7" t="n">
        <f>HYPERLINK("https://www.somogyi.sk/data/img/product_main_images/small/01751.jpg","https://www.somogyi.sk/data/img/product_main_images/small/01751.jpg")</f>
        <v>0.0</v>
      </c>
      <c r="F1351" s="2" t="inlineStr">
        <is>
          <t>5998312702031</t>
        </is>
      </c>
      <c r="G1351" s="4" t="inlineStr">
        <is>
          <t xml:space="preserve"> • vlastnosť: rýchla 
 • rozmery: 5 x 20 mm 
 • napätie: 250 V~ 
 • prúd: 5 A</t>
        </is>
      </c>
    </row>
    <row r="1352">
      <c r="A1352" s="3" t="inlineStr">
        <is>
          <t>F2 A</t>
        </is>
      </c>
      <c r="B1352" s="2" t="inlineStr">
        <is>
          <t>Poistka, 5 x 20 mm, rýchla, 2A</t>
        </is>
      </c>
      <c r="C1352" s="1" t="n">
        <v>0.19</v>
      </c>
      <c r="D1352" s="7" t="n">
        <f>HYPERLINK("https://www.somogyi.sk/product/poistka-5-x-20-mm-rychla-2a-f2-a-1743","https://www.somogyi.sk/product/poistka-5-x-20-mm-rychla-2a-f2-a-1743")</f>
        <v>0.0</v>
      </c>
      <c r="E1352" s="7" t="n">
        <f>HYPERLINK("https://www.somogyi.sk/data/img/product_main_images/small/01743.jpg","https://www.somogyi.sk/data/img/product_main_images/small/01743.jpg")</f>
        <v>0.0</v>
      </c>
      <c r="F1352" s="2" t="inlineStr">
        <is>
          <t>5998312701959</t>
        </is>
      </c>
      <c r="G1352" s="4" t="inlineStr">
        <is>
          <t xml:space="preserve"> • vlastnosť: rýchla 
 • rozmery: 5 x 20 mm 
 • napätie: 250 V~ 
 • prúd: 2 A</t>
        </is>
      </c>
    </row>
    <row r="1353">
      <c r="A1353" s="3" t="inlineStr">
        <is>
          <t>F6,3 A</t>
        </is>
      </c>
      <c r="B1353" s="2" t="inlineStr">
        <is>
          <t>Poistka, 5 x 20 mm, rýchla, 6,3A</t>
        </is>
      </c>
      <c r="C1353" s="1" t="n">
        <v>0.19</v>
      </c>
      <c r="D1353" s="7" t="n">
        <f>HYPERLINK("https://www.somogyi.sk/product/poistka-5-x-20-mm-rychla-6-3a-f6-3-a-1733","https://www.somogyi.sk/product/poistka-5-x-20-mm-rychla-6-3a-f6-3-a-1733")</f>
        <v>0.0</v>
      </c>
      <c r="E1353" s="7" t="n">
        <f>HYPERLINK("https://www.somogyi.sk/data/img/product_main_images/small/01733.jpg","https://www.somogyi.sk/data/img/product_main_images/small/01733.jpg")</f>
        <v>0.0</v>
      </c>
      <c r="F1353" s="2" t="inlineStr">
        <is>
          <t>5998312701843</t>
        </is>
      </c>
      <c r="G1353" s="4" t="inlineStr">
        <is>
          <t xml:space="preserve"> • vlastnosť: rýchla 
 • rozmery: 5 x 20 mm 
 • napätie: 250 V~ 
 • prúd: 6,3 A</t>
        </is>
      </c>
    </row>
    <row r="1354">
      <c r="A1354" s="3" t="inlineStr">
        <is>
          <t>F500 MA</t>
        </is>
      </c>
      <c r="B1354" s="2" t="inlineStr">
        <is>
          <t>Poistka, 5 x 20 mm, rýchla, 500mA</t>
        </is>
      </c>
      <c r="C1354" s="1" t="n">
        <v>0.19</v>
      </c>
      <c r="D1354" s="7" t="n">
        <f>HYPERLINK("https://www.somogyi.sk/product/poistka-5-x-20-mm-rychla-500ma-f500-ma-1752","https://www.somogyi.sk/product/poistka-5-x-20-mm-rychla-500ma-f500-ma-1752")</f>
        <v>0.0</v>
      </c>
      <c r="E1354" s="7" t="n">
        <f>HYPERLINK("https://www.somogyi.sk/data/img/product_main_images/small/01752.jpg","https://www.somogyi.sk/data/img/product_main_images/small/01752.jpg")</f>
        <v>0.0</v>
      </c>
      <c r="F1354" s="2" t="inlineStr">
        <is>
          <t>5998312702048</t>
        </is>
      </c>
      <c r="G1354" s="4" t="inlineStr">
        <is>
          <t xml:space="preserve"> • vlastnosť: rýchla 
 • rozmery: 5 x 20 mm 
 • napätie: 250 V~ 
 • prúd: 500 mA</t>
        </is>
      </c>
    </row>
    <row r="1355">
      <c r="A1355" s="3" t="inlineStr">
        <is>
          <t>F4 A</t>
        </is>
      </c>
      <c r="B1355" s="2" t="inlineStr">
        <is>
          <t>Poistka, 5 x 20 mm, rýchla, 4A</t>
        </is>
      </c>
      <c r="C1355" s="1" t="n">
        <v>0.19</v>
      </c>
      <c r="D1355" s="7" t="n">
        <f>HYPERLINK("https://www.somogyi.sk/product/poistka-5-x-20-mm-rychla-4a-f4-a-1749","https://www.somogyi.sk/product/poistka-5-x-20-mm-rychla-4a-f4-a-1749")</f>
        <v>0.0</v>
      </c>
      <c r="E1355" s="7" t="n">
        <f>HYPERLINK("https://www.somogyi.sk/data/img/product_main_images/small/01749.jpg","https://www.somogyi.sk/data/img/product_main_images/small/01749.jpg")</f>
        <v>0.0</v>
      </c>
      <c r="F1355" s="2" t="inlineStr">
        <is>
          <t>5998312702017</t>
        </is>
      </c>
      <c r="G1355" s="4" t="inlineStr">
        <is>
          <t xml:space="preserve"> • vlastnosť: rýchla 
 • rozmery: 5 x 20 mm 
 • napätie: 250 V~ 
 • prúd: 4 A</t>
        </is>
      </c>
    </row>
    <row r="1356">
      <c r="A1356" s="3" t="inlineStr">
        <is>
          <t>F100 MA</t>
        </is>
      </c>
      <c r="B1356" s="2" t="inlineStr">
        <is>
          <t>Poistka, 5 x 20 mm, rýchla, 100mA</t>
        </is>
      </c>
      <c r="C1356" s="1" t="n">
        <v>0.19</v>
      </c>
      <c r="D1356" s="7" t="n">
        <f>HYPERLINK("https://www.somogyi.sk/product/poistka-5-x-20-mm-rychla-100ma-f100-ma-1738","https://www.somogyi.sk/product/poistka-5-x-20-mm-rychla-100ma-f100-ma-1738")</f>
        <v>0.0</v>
      </c>
      <c r="E1356" s="7" t="n">
        <f>HYPERLINK("https://www.somogyi.sk/data/img/product_main_images/small/01738.jpg","https://www.somogyi.sk/data/img/product_main_images/small/01738.jpg")</f>
        <v>0.0</v>
      </c>
      <c r="F1356" s="2" t="inlineStr">
        <is>
          <t>5998312701904</t>
        </is>
      </c>
      <c r="G1356" s="4" t="inlineStr">
        <is>
          <t xml:space="preserve"> • vlastnosť: rýchla 
 • rozmery: 5 x 20 mm 
 • napätie: 250 V~ 
 • prúd: 100 mA</t>
        </is>
      </c>
    </row>
    <row r="1357">
      <c r="A1357" s="3" t="inlineStr">
        <is>
          <t>T6,3 A</t>
        </is>
      </c>
      <c r="B1357" s="2" t="inlineStr">
        <is>
          <t>Poistka, 5x20mm, pomalá, 6,3A</t>
        </is>
      </c>
      <c r="C1357" s="1" t="n">
        <v>0.29</v>
      </c>
      <c r="D1357" s="7" t="n">
        <f>HYPERLINK("https://www.somogyi.sk/product/poistka-5x20mm-pomala-6-3a-t6-3-a-1916","https://www.somogyi.sk/product/poistka-5x20mm-pomala-6-3a-t6-3-a-1916")</f>
        <v>0.0</v>
      </c>
      <c r="E1357" s="7" t="n">
        <f>HYPERLINK("https://www.somogyi.sk/data/img/product_main_images/small/01916.jpg","https://www.somogyi.sk/data/img/product_main_images/small/01916.jpg")</f>
        <v>0.0</v>
      </c>
      <c r="F1357" s="2" t="inlineStr">
        <is>
          <t>5998312704813</t>
        </is>
      </c>
      <c r="G1357" s="4" t="inlineStr">
        <is>
          <t xml:space="preserve"> • vlastnosť: pomalá 
 • rozmery: 5 x 20 mm 
 • napätie: 250 V~ 
 • prúd: 6,3 A</t>
        </is>
      </c>
    </row>
    <row r="1358">
      <c r="A1358" s="3" t="inlineStr">
        <is>
          <t>T4 A</t>
        </is>
      </c>
      <c r="B1358" s="2" t="inlineStr">
        <is>
          <t>Poistka, 5x20mm, pomalá, 4A</t>
        </is>
      </c>
      <c r="C1358" s="1" t="n">
        <v>0.29</v>
      </c>
      <c r="D1358" s="7" t="n">
        <f>HYPERLINK("https://www.somogyi.sk/product/poistka-5x20mm-pomala-4a-t4-a-1914","https://www.somogyi.sk/product/poistka-5x20mm-pomala-4a-t4-a-1914")</f>
        <v>0.0</v>
      </c>
      <c r="E1358" s="7" t="n">
        <f>HYPERLINK("https://www.somogyi.sk/data/img/product_main_images/small/01914.jpg","https://www.somogyi.sk/data/img/product_main_images/small/01914.jpg")</f>
        <v>0.0</v>
      </c>
      <c r="F1358" s="2" t="inlineStr">
        <is>
          <t>5998312704783</t>
        </is>
      </c>
      <c r="G1358" s="4" t="inlineStr">
        <is>
          <t xml:space="preserve"> • vlastnosť: pomalá 
 • rozmery: 5 x 20 mm 
 • napätie: 250 V~ 
 • prúd: 4 A</t>
        </is>
      </c>
    </row>
    <row r="1359">
      <c r="A1359" s="3" t="inlineStr">
        <is>
          <t>F1,6 A</t>
        </is>
      </c>
      <c r="B1359" s="2" t="inlineStr">
        <is>
          <t>Poistka, 5 x 20 mm, rýchla, 1,6A</t>
        </is>
      </c>
      <c r="C1359" s="1" t="n">
        <v>0.19</v>
      </c>
      <c r="D1359" s="7" t="n">
        <f>HYPERLINK("https://www.somogyi.sk/product/poistka-5-x-20-mm-rychla-1-6a-f1-6-a-1736","https://www.somogyi.sk/product/poistka-5-x-20-mm-rychla-1-6a-f1-6-a-1736")</f>
        <v>0.0</v>
      </c>
      <c r="E1359" s="7" t="n">
        <f>HYPERLINK("https://www.somogyi.sk/data/img/product_main_images/small/01736.jpg","https://www.somogyi.sk/data/img/product_main_images/small/01736.jpg")</f>
        <v>0.0</v>
      </c>
      <c r="F1359" s="2" t="inlineStr">
        <is>
          <t>5998312701881</t>
        </is>
      </c>
      <c r="G1359" s="4" t="inlineStr">
        <is>
          <t xml:space="preserve"> • vlastnosť: rýchla 
 • rozmery: 5 x 20 mm 
 • napätie: 250 V~ 
 • prúd: 1,6 A</t>
        </is>
      </c>
    </row>
    <row r="1360">
      <c r="A1360" s="3" t="inlineStr">
        <is>
          <t>F8 A</t>
        </is>
      </c>
      <c r="B1360" s="2" t="inlineStr">
        <is>
          <t>Poistka, 5 x 20 mm, rýchla, 8A</t>
        </is>
      </c>
      <c r="C1360" s="1" t="n">
        <v>0.19</v>
      </c>
      <c r="D1360" s="7" t="n">
        <f>HYPERLINK("https://www.somogyi.sk/product/poistka-5-x-20-mm-rychla-8a-f8-a-1754","https://www.somogyi.sk/product/poistka-5-x-20-mm-rychla-8a-f8-a-1754")</f>
        <v>0.0</v>
      </c>
      <c r="E1360" s="7" t="n">
        <f>HYPERLINK("https://www.somogyi.sk/data/img/product_main_images/small/01754.jpg","https://www.somogyi.sk/data/img/product_main_images/small/01754.jpg")</f>
        <v>0.0</v>
      </c>
      <c r="F1360" s="2" t="inlineStr">
        <is>
          <t>5998312702079</t>
        </is>
      </c>
      <c r="G1360" s="4" t="inlineStr">
        <is>
          <t xml:space="preserve"> • vlastnosť: rýchla 
 • rozmery: 5 x 20 mm 
 • napätie: 250 V~ 
 • prúd: 8 A</t>
        </is>
      </c>
    </row>
    <row r="1361">
      <c r="A1361" s="3" t="inlineStr">
        <is>
          <t>F16 A</t>
        </is>
      </c>
      <c r="B1361" s="2" t="inlineStr">
        <is>
          <t>Poistka, 5x20mm, rýchla, 16A</t>
        </is>
      </c>
      <c r="C1361" s="1" t="n">
        <v>0.19</v>
      </c>
      <c r="D1361" s="7" t="n">
        <f>HYPERLINK("https://www.somogyi.sk/product/poistka-5x20mm-rychla-16a-f16-a-1741","https://www.somogyi.sk/product/poistka-5x20mm-rychla-16a-f16-a-1741")</f>
        <v>0.0</v>
      </c>
      <c r="E1361" s="7" t="n">
        <f>HYPERLINK("https://www.somogyi.sk/data/img/product_main_images/small/01741.jpg","https://www.somogyi.sk/data/img/product_main_images/small/01741.jpg")</f>
        <v>0.0</v>
      </c>
      <c r="F1361" s="2" t="inlineStr">
        <is>
          <t>5998312701935</t>
        </is>
      </c>
      <c r="G1361" s="4" t="inlineStr">
        <is>
          <t xml:space="preserve"> • vlastnosť: rýchla 
 • rozmery: 5 x 20 mm 
 • napätie: 250 V~ 
 • prúd: 16 A</t>
        </is>
      </c>
    </row>
    <row r="1362">
      <c r="A1362" s="3" t="inlineStr">
        <is>
          <t>T3,15 A</t>
        </is>
      </c>
      <c r="B1362" s="2" t="inlineStr">
        <is>
          <t>Poistka, 5x20mm, pomalá, 3,15A</t>
        </is>
      </c>
      <c r="C1362" s="1" t="n">
        <v>0.29</v>
      </c>
      <c r="D1362" s="7" t="n">
        <f>HYPERLINK("https://www.somogyi.sk/product/poistka-5x20mm-pomala-3-15a-t3-15-a-1913","https://www.somogyi.sk/product/poistka-5x20mm-pomala-3-15a-t3-15-a-1913")</f>
        <v>0.0</v>
      </c>
      <c r="E1362" s="7" t="n">
        <f>HYPERLINK("https://www.somogyi.sk/data/img/product_main_images/small/01913.jpg","https://www.somogyi.sk/data/img/product_main_images/small/01913.jpg")</f>
        <v>0.0</v>
      </c>
      <c r="F1362" s="2" t="inlineStr">
        <is>
          <t>5998312704776</t>
        </is>
      </c>
      <c r="G1362" s="4" t="inlineStr">
        <is>
          <t xml:space="preserve"> • vlastnosť: pomalá 
 • rozmery: 5 x 20 mm 
 • napätie: 250 V~ 
 • prúd: 3,15 A</t>
        </is>
      </c>
    </row>
    <row r="1363">
      <c r="A1363" s="3" t="inlineStr">
        <is>
          <t>F10 A</t>
        </is>
      </c>
      <c r="B1363" s="2" t="inlineStr">
        <is>
          <t>Poistka, 5 x 20 mm, rýchla, 10A</t>
        </is>
      </c>
      <c r="C1363" s="1" t="n">
        <v>0.19</v>
      </c>
      <c r="D1363" s="7" t="n">
        <f>HYPERLINK("https://www.somogyi.sk/product/poistka-5-x-20-mm-rychla-10a-f10-a-1737","https://www.somogyi.sk/product/poistka-5-x-20-mm-rychla-10a-f10-a-1737")</f>
        <v>0.0</v>
      </c>
      <c r="E1363" s="7" t="n">
        <f>HYPERLINK("https://www.somogyi.sk/data/img/product_main_images/small/01737.jpg","https://www.somogyi.sk/data/img/product_main_images/small/01737.jpg")</f>
        <v>0.0</v>
      </c>
      <c r="F1363" s="2" t="inlineStr">
        <is>
          <t>5998312701898</t>
        </is>
      </c>
      <c r="G1363" s="4" t="inlineStr">
        <is>
          <t xml:space="preserve"> • vlastnosť: rýchla 
 • rozmery: 5 x 20 mm 
 • napätie: 250 V~ 
 • prúd: 10 A</t>
        </is>
      </c>
    </row>
    <row r="1364">
      <c r="A1364" s="3" t="inlineStr">
        <is>
          <t>T1 A</t>
        </is>
      </c>
      <c r="B1364" s="2" t="inlineStr">
        <is>
          <t>Poistka, 5x20mm, pomalá, 1A</t>
        </is>
      </c>
      <c r="C1364" s="1" t="n">
        <v>0.29</v>
      </c>
      <c r="D1364" s="7" t="n">
        <f>HYPERLINK("https://www.somogyi.sk/product/poistka-5x20mm-pomala-1a-t1-a-1908","https://www.somogyi.sk/product/poistka-5x20mm-pomala-1a-t1-a-1908")</f>
        <v>0.0</v>
      </c>
      <c r="E1364" s="7" t="n">
        <f>HYPERLINK("https://www.somogyi.sk/data/img/product_main_images/small/01908.jpg","https://www.somogyi.sk/data/img/product_main_images/small/01908.jpg")</f>
        <v>0.0</v>
      </c>
      <c r="F1364" s="2" t="inlineStr">
        <is>
          <t>5998312704714</t>
        </is>
      </c>
      <c r="G1364" s="4" t="inlineStr">
        <is>
          <t xml:space="preserve"> • vlastnosť: pomalá 
 • rozmery: 5 x 20 mm 
 • napätie: 250 V~ 
 • prúd: 1 A</t>
        </is>
      </c>
    </row>
    <row r="1365">
      <c r="A1365" s="6" t="inlineStr">
        <is>
          <t xml:space="preserve">   Audio-video doplnky / Spínač, tlačidlo</t>
        </is>
      </c>
      <c r="B1365" s="6" t="inlineStr">
        <is>
          <t/>
        </is>
      </c>
      <c r="C1365" s="6" t="inlineStr">
        <is>
          <t/>
        </is>
      </c>
      <c r="D1365" s="6" t="inlineStr">
        <is>
          <t/>
        </is>
      </c>
      <c r="E1365" s="6" t="inlineStr">
        <is>
          <t/>
        </is>
      </c>
      <c r="F1365" s="6" t="inlineStr">
        <is>
          <t/>
        </is>
      </c>
      <c r="G1365" s="6" t="inlineStr">
        <is>
          <t/>
        </is>
      </c>
    </row>
    <row r="1366">
      <c r="A1366" s="3" t="inlineStr">
        <is>
          <t>ST 21</t>
        </is>
      </c>
      <c r="B1366" s="2" t="inlineStr">
        <is>
          <t>Páčkový spínač, 250V, 1 el.obvod, páčkový, prepínací</t>
        </is>
      </c>
      <c r="C1366" s="1" t="n">
        <v>3.19</v>
      </c>
      <c r="D1366" s="7" t="n">
        <f>HYPERLINK("https://www.somogyi.sk/product/packovy-spinac-250v-1-el-obvod-packovy-prepinaci-st-21-2798","https://www.somogyi.sk/product/packovy-spinac-250v-1-el-obvod-packovy-prepinaci-st-21-2798")</f>
        <v>0.0</v>
      </c>
      <c r="E1366" s="7" t="n">
        <f>HYPERLINK("https://www.somogyi.sk/data/img/product_main_images/small/02798.jpg","https://www.somogyi.sk/data/img/product_main_images/small/02798.jpg")</f>
        <v>0.0</v>
      </c>
      <c r="F1366" s="2" t="inlineStr">
        <is>
          <t>5998312731222</t>
        </is>
      </c>
      <c r="G1366" s="4" t="inlineStr">
        <is>
          <t xml:space="preserve"> • typ tlačidla: kolískový spínač 
 • počet spínaných elektrických obvodov: 1 (prepínač) 
 • pozície spínača: 2 
 • max. napätie: 250 V~ 
 • max. prúd: 6 A 
 • rozmery: 29 x 16 mm 
 • montážne rozmery: Ø 11,5 mm 
 • montážna hĺbka: 28,2 mm 
 • počet svoriek: 3 
 • šírka svoriek: 6,3 mm 
 • farba spínača: -</t>
        </is>
      </c>
    </row>
    <row r="1367">
      <c r="A1367" s="3" t="inlineStr">
        <is>
          <t>ST 10/RD</t>
        </is>
      </c>
      <c r="B1367" s="2" t="inlineStr">
        <is>
          <t>Tlačidlo, 250V, 1 el.obvod, červené</t>
        </is>
      </c>
      <c r="C1367" s="1" t="n">
        <v>1.79</v>
      </c>
      <c r="D1367" s="7" t="n">
        <f>HYPERLINK("https://www.somogyi.sk/product/tlacidlo-250v-1-el-obvod-cervene-st-10-rd-2128","https://www.somogyi.sk/product/tlacidlo-250v-1-el-obvod-cervene-st-10-rd-2128")</f>
        <v>0.0</v>
      </c>
      <c r="E1367" s="7" t="n">
        <f>HYPERLINK("https://www.somogyi.sk/data/img/product_main_images/small/02128.jpg","https://www.somogyi.sk/data/img/product_main_images/small/02128.jpg")</f>
        <v>0.0</v>
      </c>
      <c r="F1367" s="2" t="inlineStr">
        <is>
          <t>5998312723739</t>
        </is>
      </c>
      <c r="G1367" s="4" t="inlineStr">
        <is>
          <t xml:space="preserve"> • typ tlačidla: tlačidlo spínacie 
 • počet spínaných elektrických obvodov: 1 
 • pozície spínača: 2 
 • max. napätie: 250 V~ 
 • max. prúd: 3 A 
 • rozmery: Ø 19 mm 
 • montážne rozmery: Ø 12 mm 
 • montážna hĺbka: 28,5 mm 
 • počet svoriek: 2 
 • šírka svoriek: 2,8 mm 
 • farba spínača: červená</t>
        </is>
      </c>
    </row>
    <row r="1368">
      <c r="A1368" s="3" t="inlineStr">
        <is>
          <t>ST 303</t>
        </is>
      </c>
      <c r="B1368" s="2" t="inlineStr">
        <is>
          <t>Páčkový spínač, 250V, 1 el.obvod, 3 polohový, páčkový, prepínací</t>
        </is>
      </c>
      <c r="C1368" s="1" t="n">
        <v>1.49</v>
      </c>
      <c r="D1368" s="7" t="n">
        <f>HYPERLINK("https://www.somogyi.sk/product/packovy-spinac-250v-1-el-obvod-3-polohovy-packovy-prepinaci-st-303-1891","https://www.somogyi.sk/product/packovy-spinac-250v-1-el-obvod-3-polohovy-packovy-prepinaci-st-303-1891")</f>
        <v>0.0</v>
      </c>
      <c r="E1368" s="7" t="n">
        <f>HYPERLINK("https://www.somogyi.sk/data/img/product_main_images/small/01891.jpg","https://www.somogyi.sk/data/img/product_main_images/small/01891.jpg")</f>
        <v>0.0</v>
      </c>
      <c r="F1368" s="2" t="inlineStr">
        <is>
          <t>5998312704424</t>
        </is>
      </c>
      <c r="G1368" s="4" t="inlineStr">
        <is>
          <t xml:space="preserve"> • typ tlačidla: kolískový spínač 
 • počet spínaných elektrických obvodov: 1 (prepínač) 
 • pozície spínača: 3 
 • max. napätie: 250 V~ 
 • max. prúd: 3 A 
 • rozmery: 13 x 8 mm 
 • montážne rozmery: Ø 6 mm 
 • montážna hĺbka: 15 mm 
 • počet svoriek: 3 
 • šírka svoriek: 2 mm 
 • farba spínača: -</t>
        </is>
      </c>
    </row>
    <row r="1369">
      <c r="A1369" s="3" t="inlineStr">
        <is>
          <t>SP 10/RD</t>
        </is>
      </c>
      <c r="B1369" s="2" t="inlineStr">
        <is>
          <t>Tlačidlo, 125V/3A - 250V/1A, červené, uzatváracie</t>
        </is>
      </c>
      <c r="C1369" s="1" t="n">
        <v>1.69</v>
      </c>
      <c r="D1369" s="7" t="n">
        <f>HYPERLINK("https://www.somogyi.sk/product/tlacidlo-125v-3a-250v-1a-cervene-uzatvaracie-sp-10-rd-2126","https://www.somogyi.sk/product/tlacidlo-125v-3a-250v-1a-cervene-uzatvaracie-sp-10-rd-2126")</f>
        <v>0.0</v>
      </c>
      <c r="E1369" s="7" t="n">
        <f>HYPERLINK("https://www.somogyi.sk/data/img/product_main_images/small/02126.jpg","https://www.somogyi.sk/data/img/product_main_images/small/02126.jpg")</f>
        <v>0.0</v>
      </c>
      <c r="F1369" s="2" t="inlineStr">
        <is>
          <t>5998312723715</t>
        </is>
      </c>
      <c r="G1369" s="4" t="inlineStr">
        <is>
          <t xml:space="preserve"> • typ tlačidla: tlačidlo ON / OFF 
 • počet spínaných elektrických obvodov: 1 
 • pozície spínača: 2 
 • max. napätie: 125 V~ 
 • max. prúd: 3 A 
 • rozmery: Ø 19 mm 
 • montážne rozmery: Ø 12 mm 
 • montážna hĺbka: 28,5 mm 
 • počet svoriek: 2 
 • šírka svoriek: 2,8 mm 
 • farba spínača: červená</t>
        </is>
      </c>
    </row>
    <row r="1370">
      <c r="A1370" s="3" t="inlineStr">
        <is>
          <t>AK 11</t>
        </is>
      </c>
      <c r="B1370" s="2" t="inlineStr">
        <is>
          <t>Osvetlený kolískový vypínač, 12V, 1 el.obvod, červený</t>
        </is>
      </c>
      <c r="C1370" s="1" t="n">
        <v>2.19</v>
      </c>
      <c r="D1370" s="7" t="n">
        <f>HYPERLINK("https://www.somogyi.sk/product/osvetleny-koliskovy-vypinac-12v-1-el-obvod-cerveny-ak-11-3002","https://www.somogyi.sk/product/osvetleny-koliskovy-vypinac-12v-1-el-obvod-cerveny-ak-11-3002")</f>
        <v>0.0</v>
      </c>
      <c r="E1370" s="7" t="n">
        <f>HYPERLINK("https://www.somogyi.sk/data/img/product_main_images/small/03002.jpg","https://www.somogyi.sk/data/img/product_main_images/small/03002.jpg")</f>
        <v>0.0</v>
      </c>
      <c r="F1370" s="2" t="inlineStr">
        <is>
          <t>5998312733264</t>
        </is>
      </c>
      <c r="G1370" s="4" t="inlineStr">
        <is>
          <t xml:space="preserve"> • typ tlačidla: kolískový spínač 
 • počet spínaných elektrických obvodov: 1 
 • pozície spínača: 2 
 • max. napätie: 14 V 
 • max. prúd: 20 A 
 • rozmery: Ø 23 mm 
 • montážne rozmery: Ø 20 mm 
 • montážna hĺbka: 23,5 mm 
 • počet svoriek: 3 
 • šírka svoriek: 4,8 mm 
 • podsvietenie spínača: červená LED 
 • napájanie podsvietenia: 12 V 
 • farba spínača: červená</t>
        </is>
      </c>
    </row>
    <row r="1371">
      <c r="A1371" s="3" t="inlineStr">
        <is>
          <t>SP 10/BK</t>
        </is>
      </c>
      <c r="B1371" s="2" t="inlineStr">
        <is>
          <t>Tlačidlo, 125V/3A - 250V/1A, čierne, uzatváracie</t>
        </is>
      </c>
      <c r="C1371" s="1" t="n">
        <v>1.69</v>
      </c>
      <c r="D1371" s="7" t="n">
        <f>HYPERLINK("https://www.somogyi.sk/product/tlacidlo-125v-3a-250v-1a-cierne-uzatvaracie-sp-10-bk-2012","https://www.somogyi.sk/product/tlacidlo-125v-3a-250v-1a-cierne-uzatvaracie-sp-10-bk-2012")</f>
        <v>0.0</v>
      </c>
      <c r="E1371" s="7" t="n">
        <f>HYPERLINK("https://www.somogyi.sk/data/img/product_main_images/small/02012.jpg","https://www.somogyi.sk/data/img/product_main_images/small/02012.jpg")</f>
        <v>0.0</v>
      </c>
      <c r="F1371" s="2" t="inlineStr">
        <is>
          <t>5998312717967</t>
        </is>
      </c>
      <c r="G1371" s="4" t="inlineStr">
        <is>
          <t xml:space="preserve"> • typ tlačidla: tlačidlo ON / OFF 
 • počet spínaných elektrických obvodov: 1 
 • pozície spínača: 2 
 • max. napätie: 125 V~ 
 • max. prúd: 3 A 
 • rozmery: Ø 19 mm 
 • montážne rozmery: Ø 12 mm 
 • montážna hĺbka: 28,5 mm 
 • počet svoriek: 2 
 • šírka svoriek: 2,8 mm 
 • farba spínača: -</t>
        </is>
      </c>
    </row>
    <row r="1372">
      <c r="A1372" s="3" t="inlineStr">
        <is>
          <t>SP 02/BK</t>
        </is>
      </c>
      <c r="B1372" s="2" t="inlineStr">
        <is>
          <t>Tlačidlo, 12V, 1 el.obvod, mini, čierne, uzatváracie</t>
        </is>
      </c>
      <c r="C1372" s="1" t="n">
        <v>1.19</v>
      </c>
      <c r="D1372" s="7" t="n">
        <f>HYPERLINK("https://www.somogyi.sk/product/tlacidlo-12v-1-el-obvod-mini-cierne-uzatvaracie-sp-02-bk-4309","https://www.somogyi.sk/product/tlacidlo-12v-1-el-obvod-mini-cierne-uzatvaracie-sp-02-bk-4309")</f>
        <v>0.0</v>
      </c>
      <c r="E1372" s="7" t="n">
        <f>HYPERLINK("https://www.somogyi.sk/data/img/product_main_images/small/04309.jpg","https://www.somogyi.sk/data/img/product_main_images/small/04309.jpg")</f>
        <v>0.0</v>
      </c>
      <c r="F1372" s="2" t="inlineStr">
        <is>
          <t>5998312737729</t>
        </is>
      </c>
      <c r="G1372" s="4" t="inlineStr">
        <is>
          <t xml:space="preserve"> • typ tlačidla: tlačidlo ON / OFF 
 • počet spínaných elektrických obvodov: 1 
 • pozície spínača: 2 
 • max. napätie: 250 V~ 
 • max. prúd: 1,5 A 
 • rozmery: Ø 7 mm 
 • montážne rozmery: Ø 7 mm 
 • montážna hĺbka: 15 mm 
 • počet svoriek: 2 
 • šírka svoriek: 2 mm 
 • farba spínača: čierna</t>
        </is>
      </c>
    </row>
    <row r="1373">
      <c r="A1373" s="3" t="inlineStr">
        <is>
          <t>SP 02/RD</t>
        </is>
      </c>
      <c r="B1373" s="2" t="inlineStr">
        <is>
          <t>Tlačidlo, 12V, 1 el.obvod, mini, červené, uzatváracie</t>
        </is>
      </c>
      <c r="C1373" s="1" t="n">
        <v>1.19</v>
      </c>
      <c r="D1373" s="7" t="n">
        <f>HYPERLINK("https://www.somogyi.sk/product/tlacidlo-12v-1-el-obvod-mini-cervene-uzatvaracie-sp-02-rd-4310","https://www.somogyi.sk/product/tlacidlo-12v-1-el-obvod-mini-cervene-uzatvaracie-sp-02-rd-4310")</f>
        <v>0.0</v>
      </c>
      <c r="E1373" s="7" t="n">
        <f>HYPERLINK("https://www.somogyi.sk/data/img/product_main_images/small/04310.jpg","https://www.somogyi.sk/data/img/product_main_images/small/04310.jpg")</f>
        <v>0.0</v>
      </c>
      <c r="F1373" s="2" t="inlineStr">
        <is>
          <t>5998312737736</t>
        </is>
      </c>
      <c r="G1373" s="4" t="inlineStr">
        <is>
          <t xml:space="preserve"> • typ tlačidla: tlačidlo ON / OFF 
 • počet spínaných elektrických obvodov: 1 
 • pozície spínača: 2 
 • max. napätie: 250 V~ 
 • max. prúd: 1,5 A 
 • rozmery: Ø 7 mm 
 • montážne rozmery: Ø 7 mm 
 • montážna hĺbka: 15 mm 
 • počet svoriek: 2 
 • šírka svoriek: 2 mm 
 • farba spínača: červená</t>
        </is>
      </c>
    </row>
    <row r="1374">
      <c r="A1374" s="3" t="inlineStr">
        <is>
          <t>STV 11</t>
        </is>
      </c>
      <c r="B1374" s="2" t="inlineStr">
        <is>
          <t>Osvetlený kolískový vypínač, 250V, 1 el.obvod, červený</t>
        </is>
      </c>
      <c r="C1374" s="1" t="n">
        <v>2.29</v>
      </c>
      <c r="D1374" s="7" t="n">
        <f>HYPERLINK("https://www.somogyi.sk/product/osvetleny-koliskovy-vypinac-250v-1-el-obvod-cerveny-stv-11-2644","https://www.somogyi.sk/product/osvetleny-koliskovy-vypinac-250v-1-el-obvod-cerveny-stv-11-2644")</f>
        <v>0.0</v>
      </c>
      <c r="E1374" s="7" t="n">
        <f>HYPERLINK("https://www.somogyi.sk/data/img/product_main_images/small/02644.jpg","https://www.somogyi.sk/data/img/product_main_images/small/02644.jpg")</f>
        <v>0.0</v>
      </c>
      <c r="F1374" s="2" t="inlineStr">
        <is>
          <t>5998312729625</t>
        </is>
      </c>
      <c r="G1374" s="4" t="inlineStr">
        <is>
          <t xml:space="preserve"> • typ tlačidla: kolískový spínač 
 • počet spínaných elektrických obvodov: 1 
 • pozície spínača: 2 
 • max. napätie: 250 V~ 
 • max. prúd: 6 A 
 • rozmery: Ø 23 mm 
 • montážne rozmery: Ø 21 mm 
 • montážna hĺbka: 24 mm 
 • počet svoriek: 3 
 • šírka svoriek: 4,8 mm 
 • podsvietenie spínača: glim 
 • napájanie podsvietenia: 230 V~ 
 • farba spínača: červená</t>
        </is>
      </c>
    </row>
    <row r="1375">
      <c r="A1375" s="3" t="inlineStr">
        <is>
          <t>STV 04</t>
        </is>
      </c>
      <c r="B1375" s="2" t="inlineStr">
        <is>
          <t>Osvetlený kolískový vypínač, 250V, 1 el.obvod, zelený</t>
        </is>
      </c>
      <c r="C1375" s="1" t="n">
        <v>3.29</v>
      </c>
      <c r="D1375" s="7" t="n">
        <f>HYPERLINK("https://www.somogyi.sk/product/osvetleny-koliskovy-vypinac-250v-1-el-obvod-zeleny-stv-04-2047","https://www.somogyi.sk/product/osvetleny-koliskovy-vypinac-250v-1-el-obvod-zeleny-stv-04-2047")</f>
        <v>0.0</v>
      </c>
      <c r="E1375" s="7" t="n">
        <f>HYPERLINK("https://www.somogyi.sk/data/img/product_main_images/small/02047.jpg","https://www.somogyi.sk/data/img/product_main_images/small/02047.jpg")</f>
        <v>0.0</v>
      </c>
      <c r="F1375" s="2" t="inlineStr">
        <is>
          <t>5998312722480</t>
        </is>
      </c>
      <c r="G1375" s="4" t="inlineStr">
        <is>
          <t xml:space="preserve"> • typ tlačidla: kolískový spínač 
 • počet spínaných elektrických obvodov: 1 
 • pozície spínača: 2 
 • max. napätie: 250 V~ 
 • max. prúd: 10 A 
 • rozmery: 34 x 14 mm 
 • montážne rozmery: 31 x 11 mm 
 • montážna hĺbka: 26,6 mm 
 • počet svoriek: 3 
 • šírka svoriek: 6,3 mm 
 • podsvietenie spínača: glim 
 • napájanie podsvietenia: 230 V~ 
 • farba spínača: zelená</t>
        </is>
      </c>
    </row>
    <row r="1376">
      <c r="A1376" s="3" t="inlineStr">
        <is>
          <t>AKV 01</t>
        </is>
      </c>
      <c r="B1376" s="2" t="inlineStr">
        <is>
          <t>Osvetlený kolískový vypínač, 12V, 1 el.obvod, červený</t>
        </is>
      </c>
      <c r="C1376" s="1" t="n">
        <v>1.49</v>
      </c>
      <c r="D1376" s="7" t="n">
        <f>HYPERLINK("https://www.somogyi.sk/product/osvetleny-koliskovy-vypinac-12v-1-el-obvod-cerveny-akv-01-4260","https://www.somogyi.sk/product/osvetleny-koliskovy-vypinac-12v-1-el-obvod-cerveny-akv-01-4260")</f>
        <v>0.0</v>
      </c>
      <c r="E1376" s="7" t="n">
        <f>HYPERLINK("https://www.somogyi.sk/data/img/product_main_images/small/04260.jpg","https://www.somogyi.sk/data/img/product_main_images/small/04260.jpg")</f>
        <v>0.0</v>
      </c>
      <c r="F1376" s="2" t="inlineStr">
        <is>
          <t>5998312708859</t>
        </is>
      </c>
      <c r="G1376" s="4" t="inlineStr">
        <is>
          <t xml:space="preserve"> • typ tlačidla: kolískový spínač 
 • počet spínaných elektrických obvodov: 1 
 • pozície spínača: 2 
 • max. napätie: 12 V 
 • max. prúd: 15 A 
 • rozmery: 21x 15 mm 
 • montážne rozmery: 19 x 13 mm 
 • montážna hĺbka: 22,8 mm 
 • počet svoriek: 3 
 • šírka svoriek: 4,8 mm 
 • podsvietenie spínača: žiarovka 
 • napájanie podsvietenia: 12 V 
 • farba spínača: červená</t>
        </is>
      </c>
    </row>
    <row r="1377">
      <c r="A1377" s="3" t="inlineStr">
        <is>
          <t>STV 03</t>
        </is>
      </c>
      <c r="B1377" s="2" t="inlineStr">
        <is>
          <t>Osvetlený kolískový vypínač, 250V, 1 el.obvod, červený</t>
        </is>
      </c>
      <c r="C1377" s="1" t="n">
        <v>2.79</v>
      </c>
      <c r="D1377" s="7" t="n">
        <f>HYPERLINK("https://www.somogyi.sk/product/osvetleny-koliskovy-vypinac-250v-1-el-obvod-cerveny-stv-03-1898","https://www.somogyi.sk/product/osvetleny-koliskovy-vypinac-250v-1-el-obvod-cerveny-stv-03-1898")</f>
        <v>0.0</v>
      </c>
      <c r="E1377" s="7" t="n">
        <f>HYPERLINK("https://www.somogyi.sk/data/img/product_main_images/small/01898.jpg","https://www.somogyi.sk/data/img/product_main_images/small/01898.jpg")</f>
        <v>0.0</v>
      </c>
      <c r="F1377" s="2" t="inlineStr">
        <is>
          <t>5998312704523</t>
        </is>
      </c>
      <c r="G1377" s="4" t="inlineStr">
        <is>
          <t xml:space="preserve"> • typ tlačidla: kolískový spínač 
 • počet spínaných elektrických obvodov: 1 
 • pozície spínača: 2 
 • max. napätie: 250 V~ 
 • max. prúd: 10 A 
 • rozmery: 34 x 14 mm 
 • montážne rozmery: 31 x 11 mm 
 • montážna hĺbka: 26,6 mm 
 • počet svoriek: 3 
 • šírka svoriek: 6,3 mm 
 • podsvietenie spínača: glim 
 • napájanie podsvietenia: 230 V~ 
 • farba spínača: červená</t>
        </is>
      </c>
    </row>
    <row r="1378">
      <c r="A1378" s="3" t="inlineStr">
        <is>
          <t>ST 302</t>
        </is>
      </c>
      <c r="B1378" s="2" t="inlineStr">
        <is>
          <t>Páčkový spínač, 250V, 1 el.obvod, páčkový, prepínací</t>
        </is>
      </c>
      <c r="C1378" s="1" t="n">
        <v>1.49</v>
      </c>
      <c r="D1378" s="7" t="n">
        <f>HYPERLINK("https://www.somogyi.sk/product/packovy-spinac-250v-1-el-obvod-packovy-prepinaci-st-302-1890","https://www.somogyi.sk/product/packovy-spinac-250v-1-el-obvod-packovy-prepinaci-st-302-1890")</f>
        <v>0.0</v>
      </c>
      <c r="E1378" s="7" t="n">
        <f>HYPERLINK("https://www.somogyi.sk/data/img/product_main_images/small/01890.jpg","https://www.somogyi.sk/data/img/product_main_images/small/01890.jpg")</f>
        <v>0.0</v>
      </c>
      <c r="F1378" s="2" t="inlineStr">
        <is>
          <t>5998312704417</t>
        </is>
      </c>
      <c r="G1378" s="4" t="inlineStr">
        <is>
          <t xml:space="preserve"> • typ tlačidla: kolískový spínač 
 • počet spínaných elektrických obvodov: 1 (prepínač) 
 • pozície spínača: 2 
 • max. napätie: 250 V~ 
 • max. prúd: 3 A 
 • rozmery: 13 x 8 mm 
 • montážne rozmery: Ø 6 mm 
 • montážna hĺbka: 15 mm 
 • počet svoriek: 3 
 • šírka svoriek: 2 mm 
 • farba spínača: -</t>
        </is>
      </c>
    </row>
    <row r="1379">
      <c r="A1379" s="3" t="inlineStr">
        <is>
          <t>ST 304</t>
        </is>
      </c>
      <c r="B1379" s="2" t="inlineStr">
        <is>
          <t>Páčkový spínač, 250V, 2 el.obvody, páčkový, prepínací</t>
        </is>
      </c>
      <c r="C1379" s="1" t="n">
        <v>1.59</v>
      </c>
      <c r="D1379" s="7" t="n">
        <f>HYPERLINK("https://www.somogyi.sk/product/packovy-spinac-250v-2-el-obvody-packovy-prepinaci-st-304-1892","https://www.somogyi.sk/product/packovy-spinac-250v-2-el-obvody-packovy-prepinaci-st-304-1892")</f>
        <v>0.0</v>
      </c>
      <c r="E1379" s="7" t="n">
        <f>HYPERLINK("https://www.somogyi.sk/data/img/product_main_images/small/01892.jpg","https://www.somogyi.sk/data/img/product_main_images/small/01892.jpg")</f>
        <v>0.0</v>
      </c>
      <c r="F1379" s="2" t="inlineStr">
        <is>
          <t>5998312704431</t>
        </is>
      </c>
      <c r="G1379" s="4" t="inlineStr">
        <is>
          <t xml:space="preserve"> • typ tlačidla: kolískový spínač 
 • počet spínaných elektrických obvodov: 2 (prepínač) 
 • pozície spínača: 2 
 • max. napätie: 250 V~ 
 • max. prúd: 3 A 
 • rozmery: 13 x 13 mm 
 • montážne rozmery: Ø 6 mm 
 • montážna hĺbka: 15 mm 
 • počet svoriek: 6 
 • šírka svoriek: 2 mm 
 • farba spínača: -</t>
        </is>
      </c>
    </row>
    <row r="1380">
      <c r="A1380" s="3" t="inlineStr">
        <is>
          <t>SP 12/RD</t>
        </is>
      </c>
      <c r="B1380" s="2" t="inlineStr">
        <is>
          <t>Tlačidlo, 250V, 1 el.obvod, červené, uzatváracie</t>
        </is>
      </c>
      <c r="C1380" s="1" t="n">
        <v>1.79</v>
      </c>
      <c r="D1380" s="7" t="n">
        <f>HYPERLINK("https://www.somogyi.sk/product/tlacidlo-250v-1-el-obvod-cervene-uzatvaracie-sp-12-rd-2794","https://www.somogyi.sk/product/tlacidlo-250v-1-el-obvod-cervene-uzatvaracie-sp-12-rd-2794")</f>
        <v>0.0</v>
      </c>
      <c r="E1380" s="7" t="n">
        <f>HYPERLINK("https://www.somogyi.sk/data/img/product_main_images/small/02794.jpg","https://www.somogyi.sk/data/img/product_main_images/small/02794.jpg")</f>
        <v>0.0</v>
      </c>
      <c r="F1380" s="2" t="inlineStr">
        <is>
          <t>5998312731185</t>
        </is>
      </c>
      <c r="G1380" s="4" t="inlineStr">
        <is>
          <t xml:space="preserve"> • typ tlačidla: tlačidlo ON / OFF 
 • počet spínaných elektrických obvodov: 1 
 • pozície spínača: 2 
 • max. napätie: 250 V~ 
 • max. prúd: 1,5 A 
 • rozmery: Ø 14 mm 
 • montážne rozmery: Ø 13 mm 
 • montážna hĺbka: 21 mm 
 • počet svoriek: 2 
 • šírka svoriek: 2 mm 
 • farba spínača: červená</t>
        </is>
      </c>
    </row>
    <row r="1381">
      <c r="A1381" s="3" t="inlineStr">
        <is>
          <t>STV 07</t>
        </is>
      </c>
      <c r="B1381" s="2" t="inlineStr">
        <is>
          <t>Osvetlený kolískový vypínač, 250V, 1 el.obvod, červený</t>
        </is>
      </c>
      <c r="C1381" s="1" t="n">
        <v>2.29</v>
      </c>
      <c r="D1381" s="7" t="n">
        <f>HYPERLINK("https://www.somogyi.sk/product/osvetleny-koliskovy-vypinac-250v-1-el-obvod-cerveny-stv-07-2641","https://www.somogyi.sk/product/osvetleny-koliskovy-vypinac-250v-1-el-obvod-cerveny-stv-07-2641")</f>
        <v>0.0</v>
      </c>
      <c r="E1381" s="7" t="n">
        <f>HYPERLINK("https://www.somogyi.sk/data/img/product_main_images/small/02641.jpg","https://www.somogyi.sk/data/img/product_main_images/small/02641.jpg")</f>
        <v>0.0</v>
      </c>
      <c r="F1381" s="2" t="inlineStr">
        <is>
          <t>5998312729595</t>
        </is>
      </c>
      <c r="G1381" s="4" t="inlineStr">
        <is>
          <t xml:space="preserve"> • typ tlačidla: kolískový spínač 
 • počet spínaných elektrických obvodov: 1 
 • pozície spínača: 2 
 • max. napätie: 250 V~ 
 • max. prúd: 6 A 
 • rozmery: Ø 23 mm 
 • montážne rozmery: Ø 21 mm 
 • montážna hĺbka: 24 mm 
 • počet svoriek: 3 
 • šírka svoriek: 4,8 mm 
 • podsvietenie spínača: glim 
 • napájanie podsvietenia: 230 V~ 
 • farba spínača: červená</t>
        </is>
      </c>
    </row>
    <row r="1382">
      <c r="A1382" s="3" t="inlineStr">
        <is>
          <t>SP 12/GR</t>
        </is>
      </c>
      <c r="B1382" s="2" t="inlineStr">
        <is>
          <t>Tlačidlo, 250V, 1 el.obvod, zelené, uzatváracie</t>
        </is>
      </c>
      <c r="C1382" s="1" t="n">
        <v>1.79</v>
      </c>
      <c r="D1382" s="7" t="n">
        <f>HYPERLINK("https://www.somogyi.sk/product/tlacidlo-250v-1-el-obvod-zelene-uzatvaracie-sp-12-gr-2793","https://www.somogyi.sk/product/tlacidlo-250v-1-el-obvod-zelene-uzatvaracie-sp-12-gr-2793")</f>
        <v>0.0</v>
      </c>
      <c r="E1382" s="7" t="n">
        <f>HYPERLINK("https://www.somogyi.sk/data/img/product_main_images/small/02793.jpg","https://www.somogyi.sk/data/img/product_main_images/small/02793.jpg")</f>
        <v>0.0</v>
      </c>
      <c r="F1382" s="2" t="inlineStr">
        <is>
          <t>5998312731178</t>
        </is>
      </c>
      <c r="G1382" s="4" t="inlineStr">
        <is>
          <t xml:space="preserve"> • typ tlačidla: tlačidlo ON / OFF 
 • počet spínaných elektrických obvodov: 1 
 • pozície spínača: 2 
 • max. napätie: 250 V~ 
 • max. prúd: 1,5 A 
 • rozmery: Ø 14 mm 
 • montážne rozmery: Ø 13 mm 
 • montážna hĺbka: 21 mm 
 • počet svoriek: 2 
 • šírka svoriek: 2 mm 
 • farba spínača: zelená</t>
        </is>
      </c>
    </row>
    <row r="1383">
      <c r="A1383" s="3" t="inlineStr">
        <is>
          <t>STV 15</t>
        </is>
      </c>
      <c r="B1383" s="2" t="inlineStr">
        <is>
          <t>Osvetlený kolískový vypínač, 250V, 1 el.obvod, červený</t>
        </is>
      </c>
      <c r="C1383" s="1" t="n">
        <v>1.89</v>
      </c>
      <c r="D1383" s="7" t="n">
        <f>HYPERLINK("https://www.somogyi.sk/product/osvetleny-koliskovy-vypinac-250v-1-el-obvod-cerveny-stv-15-2720","https://www.somogyi.sk/product/osvetleny-koliskovy-vypinac-250v-1-el-obvod-cerveny-stv-15-2720")</f>
        <v>0.0</v>
      </c>
      <c r="E1383" s="7" t="n">
        <f>HYPERLINK("https://www.somogyi.sk/data/img/product_main_images/small/02720.jpg","https://www.somogyi.sk/data/img/product_main_images/small/02720.jpg")</f>
        <v>0.0</v>
      </c>
      <c r="F1383" s="2" t="inlineStr">
        <is>
          <t>5998312730447</t>
        </is>
      </c>
      <c r="G1383" s="4" t="inlineStr">
        <is>
          <t xml:space="preserve"> • typ tlačidla: kolískový spínač 
 • počet spínaných elektrických obvodov: 1 
 • pozície spínača: 2 
 • max. napätie: 250 V~ 
 • max. prúd: 6 A 
 • rozmery: 21 x 15 mm 
 • montážne rozmery: 20 x 13 mm 
 • montážna hĺbka: 22 mm 
 • počet svoriek: 3 
 • šírka svoriek: 4,8 mm 
 • podsvietenie spínača: glim 
 • napájanie podsvietenia: 230 V~ 
 • farba spínača: červená</t>
        </is>
      </c>
    </row>
    <row r="1384">
      <c r="A1384" s="3" t="inlineStr">
        <is>
          <t>AK 12</t>
        </is>
      </c>
      <c r="B1384" s="2" t="inlineStr">
        <is>
          <t>Osvetlený kolískový vypínač, 12V, 1 el.obvod, zelený</t>
        </is>
      </c>
      <c r="C1384" s="1" t="n">
        <v>2.29</v>
      </c>
      <c r="D1384" s="7" t="n">
        <f>HYPERLINK("https://www.somogyi.sk/product/osvetleny-koliskovy-vypinac-12v-1-el-obvod-zeleny-ak-12-3003","https://www.somogyi.sk/product/osvetleny-koliskovy-vypinac-12v-1-el-obvod-zeleny-ak-12-3003")</f>
        <v>0.0</v>
      </c>
      <c r="E1384" s="7" t="n">
        <f>HYPERLINK("https://www.somogyi.sk/data/img/product_main_images/small/03003.jpg","https://www.somogyi.sk/data/img/product_main_images/small/03003.jpg")</f>
        <v>0.0</v>
      </c>
      <c r="F1384" s="2" t="inlineStr">
        <is>
          <t>5998312733271</t>
        </is>
      </c>
      <c r="G1384" s="4" t="inlineStr">
        <is>
          <t xml:space="preserve"> • typ tlačidla: kolískový spínač 
 • počet spínaných elektrických obvodov: 1 
 • pozície spínača: 2 
 • max. napätie: 14 V 
 • max. prúd: 20 A 
 • rozmery: Ø 23 mm 
 • montážne rozmery: Ø 20 mm 
 • montážna hĺbka: 23,5 mm 
 • počet svoriek: 3 
 • šírka svoriek: 4,8 mm 
 • podsvietenie spínača: zelená LED 
 • napájanie podsvietenia: 12 V 
 • farba spínača: zelená</t>
        </is>
      </c>
    </row>
    <row r="1385">
      <c r="A1385" s="3" t="inlineStr">
        <is>
          <t>ST 1/BK</t>
        </is>
      </c>
      <c r="B1385" s="2" t="inlineStr">
        <is>
          <t>Osvetlený kolískový vypínač mini, 250V, 1 el.obvod, čierny</t>
        </is>
      </c>
      <c r="C1385" s="1" t="n">
        <v>0.79</v>
      </c>
      <c r="D1385" s="7" t="n">
        <f>HYPERLINK("https://www.somogyi.sk/product/osvetleny-koliskovy-vypinac-mini-250v-1-el-obvod-cierny-st-1-bk-2014","https://www.somogyi.sk/product/osvetleny-koliskovy-vypinac-mini-250v-1-el-obvod-cierny-st-1-bk-2014")</f>
        <v>0.0</v>
      </c>
      <c r="E1385" s="7" t="n">
        <f>HYPERLINK("https://www.somogyi.sk/data/img/product_main_images/small/02014.jpg","https://www.somogyi.sk/data/img/product_main_images/small/02014.jpg")</f>
        <v>0.0</v>
      </c>
      <c r="F1385" s="2" t="inlineStr">
        <is>
          <t>5998312718049</t>
        </is>
      </c>
      <c r="G1385" s="4" t="inlineStr">
        <is>
          <t xml:space="preserve"> • typ tlačidla: kolískový spínač 
 • počet spínaných elektrických obvodov: 1 
 • pozície spínača: 2 
 • max. napätie: 250 V~ 
 • max. prúd: 3 A 
 • rozmery: 21 x 15 mm 
 • montážne rozmery: 20 x 13 mm 
 • montážna hĺbka: 18,5 mm 
 • počet svoriek: 2 
 • šírka svoriek: 4,8 mm 
 • farba spínača: -</t>
        </is>
      </c>
    </row>
    <row r="1386">
      <c r="A1386" s="3" t="inlineStr">
        <is>
          <t>MSW 01</t>
        </is>
      </c>
      <c r="B1386" s="2" t="inlineStr">
        <is>
          <t>Mikrospínač, 10A</t>
        </is>
      </c>
      <c r="C1386" s="1" t="n">
        <v>1.79</v>
      </c>
      <c r="D1386" s="7" t="n">
        <f>HYPERLINK("https://www.somogyi.sk/product/mikrospinac-10a-msw-01-4777","https://www.somogyi.sk/product/mikrospinac-10a-msw-01-4777")</f>
        <v>0.0</v>
      </c>
      <c r="E1386" s="7" t="n">
        <f>HYPERLINK("https://www.somogyi.sk/data/img/product_main_images/small/04777.jpg","https://www.somogyi.sk/data/img/product_main_images/small/04777.jpg")</f>
        <v>0.0</v>
      </c>
      <c r="F1386" s="2" t="inlineStr">
        <is>
          <t>5998312742204</t>
        </is>
      </c>
      <c r="G1386" s="4" t="inlineStr">
        <is>
          <t xml:space="preserve"> • typ tlačidla: mikrospínač 
 • počet spínaných elektrických obvodov: 1 
 • pozície spínača: 2 
 • max. napätie: 250 V~ 
 • max. prúd: 10 A 
 • rozmery: 29 x 16 x 10 mm 
 • montážne rozmery: - 
 • montážna hĺbka: - 
 • počet svoriek: 3 
 • šírka svoriek: 6,3 mm 
 • farba spínača: -</t>
        </is>
      </c>
    </row>
    <row r="1387">
      <c r="A1387" s="3" t="inlineStr">
        <is>
          <t>MSW 03</t>
        </is>
      </c>
      <c r="B1387" s="2" t="inlineStr">
        <is>
          <t>Mikrospínač, 10A, mini, kolieskové</t>
        </is>
      </c>
      <c r="C1387" s="1" t="n">
        <v>2.09</v>
      </c>
      <c r="D1387" s="7" t="n">
        <f>HYPERLINK("https://www.somogyi.sk/product/mikrospinac-10a-mini-kolieskove-msw-03-4778","https://www.somogyi.sk/product/mikrospinac-10a-mini-kolieskove-msw-03-4778")</f>
        <v>0.0</v>
      </c>
      <c r="E1387" s="7" t="n">
        <f>HYPERLINK("https://www.somogyi.sk/data/img/product_main_images/small/04778.jpg","https://www.somogyi.sk/data/img/product_main_images/small/04778.jpg")</f>
        <v>0.0</v>
      </c>
      <c r="F1387" s="2" t="inlineStr">
        <is>
          <t>5998312742211</t>
        </is>
      </c>
      <c r="G1387" s="4" t="inlineStr">
        <is>
          <t xml:space="preserve"> • typ tlačidla: mikrospínač (páčkový s kolieskom) 
 • počet spínaných elektrických obvodov: 1 
 • pozície spínača: 2 
 • max. napätie: 250 V~ 
 • max. prúd: 10 A 
 • rozmery: 29 x 16 x 10 mm 
 • montážne rozmery: - 
 • montážna hĺbka: - 
 • počet svoriek: 3 
 • šírka svoriek: 6,3 mm 
 • farba spínača: -</t>
        </is>
      </c>
    </row>
    <row r="1388">
      <c r="A1388" s="3" t="inlineStr">
        <is>
          <t>ST 22</t>
        </is>
      </c>
      <c r="B1388" s="2" t="inlineStr">
        <is>
          <t>Páčkový spínač, 250V, 1 el.obvod, 3 polohový, páčkový, prepínací</t>
        </is>
      </c>
      <c r="C1388" s="1" t="n">
        <v>3.09</v>
      </c>
      <c r="D1388" s="7" t="n">
        <f>HYPERLINK("https://www.somogyi.sk/product/packovy-spinac-250v-1-el-obvod-3-polohovy-packovy-prepinaci-st-22-2799","https://www.somogyi.sk/product/packovy-spinac-250v-1-el-obvod-3-polohovy-packovy-prepinaci-st-22-2799")</f>
        <v>0.0</v>
      </c>
      <c r="E1388" s="7" t="n">
        <f>HYPERLINK("https://www.somogyi.sk/data/img/product_main_images/small/02799.jpg","https://www.somogyi.sk/data/img/product_main_images/small/02799.jpg")</f>
        <v>0.0</v>
      </c>
      <c r="F1388" s="2" t="inlineStr">
        <is>
          <t>5998312731239</t>
        </is>
      </c>
      <c r="G1388" s="4" t="inlineStr">
        <is>
          <t xml:space="preserve"> • typ tlačidla: kolískový spínač 
 • počet spínaných elektrických obvodov: 1 (prepínač) 
 • pozície spínača: 3 
 • max. napätie: 250 V~ 
 • max. prúd: 6 A 
 • rozmery: 29 x 16 mm 
 • montážne rozmery: Ø 11,5 mm 
 • montážna hĺbka: 28,2 mm 
 • počet svoriek: 3 
 • šírka svoriek: 6,3 mm 
 • farba spínača: -</t>
        </is>
      </c>
    </row>
    <row r="1389">
      <c r="A1389" s="3" t="inlineStr">
        <is>
          <t>ST 305</t>
        </is>
      </c>
      <c r="B1389" s="2" t="inlineStr">
        <is>
          <t>Páčkový spínač, 250V, 1 el.obvod, 3 polohový, páčkový, prepínací</t>
        </is>
      </c>
      <c r="C1389" s="1" t="n">
        <v>1.09</v>
      </c>
      <c r="D1389" s="7" t="n">
        <f>HYPERLINK("https://www.somogyi.sk/product/packovy-spinac-250v-1-el-obvod-3-polohovy-packovy-prepinaci-st-305-1893","https://www.somogyi.sk/product/packovy-spinac-250v-1-el-obvod-3-polohovy-packovy-prepinaci-st-305-1893")</f>
        <v>0.0</v>
      </c>
      <c r="E1389" s="7" t="n">
        <f>HYPERLINK("https://www.somogyi.sk/data/img/product_main_images/small/01893.jpg","https://www.somogyi.sk/data/img/product_main_images/small/01893.jpg")</f>
        <v>0.0</v>
      </c>
      <c r="F1389" s="2" t="inlineStr">
        <is>
          <t>5998312704448</t>
        </is>
      </c>
      <c r="G1389" s="4" t="inlineStr">
        <is>
          <t xml:space="preserve"> • typ tlačidla: kolískový spínač 
 • počet spínaných elektrických obvodov: 2 (prepínač) 
 • pozície spínača: 3 
 • max. napätie: 250 V~ 
 • max. prúd: 3 A 
 • rozmery: 13 x 13 mm 
 • montážne rozmery: Ø 6 mm 
 • montážna hĺbka: 15 mm 
 • počet svoriek: 6 
 • šírka svoriek: 2 mm 
 • farba spínača: -</t>
        </is>
      </c>
    </row>
    <row r="1390">
      <c r="A1390" s="3" t="inlineStr">
        <is>
          <t>AK 01</t>
        </is>
      </c>
      <c r="B1390" s="2" t="inlineStr">
        <is>
          <t>Osvetlený kolískový vypínač, 12V, 1 el.obvod, červený</t>
        </is>
      </c>
      <c r="C1390" s="1" t="n">
        <v>2.19</v>
      </c>
      <c r="D1390" s="7" t="n">
        <f>HYPERLINK("https://www.somogyi.sk/product/osvetleny-koliskovy-vypinac-12v-1-el-obvod-cerveny-ak-01-2791","https://www.somogyi.sk/product/osvetleny-koliskovy-vypinac-12v-1-el-obvod-cerveny-ak-01-2791")</f>
        <v>0.0</v>
      </c>
      <c r="E1390" s="7" t="n">
        <f>HYPERLINK("https://www.somogyi.sk/data/img/product_main_images/small/02791.jpg","https://www.somogyi.sk/data/img/product_main_images/small/02791.jpg")</f>
        <v>0.0</v>
      </c>
      <c r="F1390" s="2" t="inlineStr">
        <is>
          <t>5998312731154</t>
        </is>
      </c>
      <c r="G1390" s="4" t="inlineStr">
        <is>
          <t xml:space="preserve"> • typ tlačidla: kolískový spínač 
 • počet spínaných elektrických obvodov: 1 
 • pozície spínača: 2 
 • max. napätie: 12 V 
 • max. prúd: 20 A 
 • rozmery: 25 x 14 mm 
 • montážne rozmery: Ø 12 mm 
 • montážna hĺbka: 28 mm 
 • počet svoriek: 3 
 • šírka svoriek: 6,3 mm 
 • podsvietenie spínača: žiarovka 
 • napájanie podsvietenia: 12 V 
 • farba spínača: červená</t>
        </is>
      </c>
    </row>
    <row r="1391">
      <c r="A1391" s="3" t="inlineStr">
        <is>
          <t>ST 10/BK</t>
        </is>
      </c>
      <c r="B1391" s="2" t="inlineStr">
        <is>
          <t>Tlačidlo, 250V, 1 el.obvod, čierne</t>
        </is>
      </c>
      <c r="C1391" s="1" t="n">
        <v>1.79</v>
      </c>
      <c r="D1391" s="7" t="n">
        <f>HYPERLINK("https://www.somogyi.sk/product/tlacidlo-250v-1-el-obvod-cierne-st-10-bk-1888","https://www.somogyi.sk/product/tlacidlo-250v-1-el-obvod-cierne-st-10-bk-1888")</f>
        <v>0.0</v>
      </c>
      <c r="E1391" s="7" t="n">
        <f>HYPERLINK("https://www.somogyi.sk/data/img/product_main_images/small/01888.jpg","https://www.somogyi.sk/data/img/product_main_images/small/01888.jpg")</f>
        <v>0.0</v>
      </c>
      <c r="F1391" s="2" t="inlineStr">
        <is>
          <t>5998312704394</t>
        </is>
      </c>
      <c r="G1391" s="4" t="inlineStr">
        <is>
          <t xml:space="preserve"> • typ tlačidla: tlačidlo spínacie 
 • počet spínaných elektrických obvodov: 1 
 • pozície spínača: 2 
 • max. napätie: 250 V~ 
 • max. prúd: 3 A 
 • rozmery: Ø 19 mm 
 • montážne rozmery: Ø 12 mm 
 • montážna hĺbka: 28,5 mm 
 • počet svoriek: 2 
 • šírka svoriek: 2,8 mm 
 • farba spínača: -</t>
        </is>
      </c>
    </row>
    <row r="1392">
      <c r="A1392" s="3" t="inlineStr">
        <is>
          <t>MSW 13</t>
        </is>
      </c>
      <c r="B1392" s="2" t="inlineStr">
        <is>
          <t>Mikrospínač, 5A, mini, kolieskové</t>
        </is>
      </c>
      <c r="C1392" s="1" t="n">
        <v>1.29</v>
      </c>
      <c r="D1392" s="7" t="n">
        <f>HYPERLINK("https://www.somogyi.sk/product/mikrospinac-5a-mini-kolieskove-msw-13-4780","https://www.somogyi.sk/product/mikrospinac-5a-mini-kolieskove-msw-13-4780")</f>
        <v>0.0</v>
      </c>
      <c r="E1392" s="7" t="n">
        <f>HYPERLINK("https://www.somogyi.sk/data/img/product_main_images/small/04780.jpg","https://www.somogyi.sk/data/img/product_main_images/small/04780.jpg")</f>
        <v>0.0</v>
      </c>
      <c r="F1392" s="2" t="inlineStr">
        <is>
          <t>5998312742235</t>
        </is>
      </c>
      <c r="G1392" s="4" t="inlineStr">
        <is>
          <t xml:space="preserve"> • typ tlačidla: mikrospínač (páčkový s kolieskom) 
 • počet spínaných elektrických obvodov: 1 
 • pozície spínača: 2 
 • max. napätie: 250 V~ 
 • max. prúd: 5 A 
 • rozmery: 20 x 11 x 7 mm 
 • montážne rozmery: - 
 • montážna hĺbka: - 
 • počet svoriek: 3 
 • šírka svoriek: 2,8 mm 
 • farba spínača: -</t>
        </is>
      </c>
    </row>
    <row r="1393">
      <c r="A1393" s="3" t="inlineStr">
        <is>
          <t>AKV 11</t>
        </is>
      </c>
      <c r="B1393" s="2" t="inlineStr">
        <is>
          <t>Osvetlený kolískový vypínač, 12V, 1 el.obvod, červený</t>
        </is>
      </c>
      <c r="C1393" s="1" t="n">
        <v>1.69</v>
      </c>
      <c r="D1393" s="7" t="n">
        <f>HYPERLINK("https://www.somogyi.sk/product/osvetleny-koliskovy-vypinac-12v-1-el-obvod-cerveny-akv-11-4255","https://www.somogyi.sk/product/osvetleny-koliskovy-vypinac-12v-1-el-obvod-cerveny-akv-11-4255")</f>
        <v>0.0</v>
      </c>
      <c r="E1393" s="7" t="n">
        <f>HYPERLINK("https://www.somogyi.sk/data/img/product_main_images/small/04255.jpg","https://www.somogyi.sk/data/img/product_main_images/small/04255.jpg")</f>
        <v>0.0</v>
      </c>
      <c r="F1393" s="2" t="inlineStr">
        <is>
          <t>5998312708804</t>
        </is>
      </c>
      <c r="G1393" s="4" t="inlineStr">
        <is>
          <t xml:space="preserve"> • typ tlačidla: kolískový spínač 
 • počet spínaných elektrických obvodov: 1 
 • pozície spínača: 2 
 • max. napätie: 12 V 
 • max. prúd: 16 A 
 • rozmery: Ø 23 mm 
 • montážne rozmery: Ø 20 mm 
 • montážna hĺbka: 22,8 mm 
 • počet svoriek: 3 
 • šírka svoriek: 4,8 mm 
 • podsvietenie spínača: žiarovka 
 • napájanie podsvietenia: 12 V 
 • farba spínača: červená</t>
        </is>
      </c>
    </row>
    <row r="1394">
      <c r="A1394" s="3" t="inlineStr">
        <is>
          <t>STV 05</t>
        </is>
      </c>
      <c r="B1394" s="2" t="inlineStr">
        <is>
          <t>Osvetlený kolískový vypínač, 250V, 2 el.obvody, červený</t>
        </is>
      </c>
      <c r="C1394" s="1" t="n">
        <v>2.49</v>
      </c>
      <c r="D1394" s="7" t="n">
        <f>HYPERLINK("https://www.somogyi.sk/product/osvetleny-koliskovy-vypinac-250v-2-el-obvody-cerveny-stv-05-1899","https://www.somogyi.sk/product/osvetleny-koliskovy-vypinac-250v-2-el-obvody-cerveny-stv-05-1899")</f>
        <v>0.0</v>
      </c>
      <c r="E1394" s="7" t="n">
        <f>HYPERLINK("https://www.somogyi.sk/data/img/product_main_images/small/01899.jpg","https://www.somogyi.sk/data/img/product_main_images/small/01899.jpg")</f>
        <v>0.0</v>
      </c>
      <c r="F1394" s="2" t="inlineStr">
        <is>
          <t>5998312704547</t>
        </is>
      </c>
      <c r="G1394" s="4" t="inlineStr">
        <is>
          <t xml:space="preserve"> • typ tlačidla: kolískový spínač 
 • počet spínaných elektrických obvodov: 2 
 • pozície spínača: 2 
 • max. napätie: 250 V~ 
 • max. prúd: 6 A 
 • rozmery: 21 x 15 mm 
 • montážne rozmery: 20 x 13 mm 
 • montážna hĺbka: 22 mm 
 • počet svoriek: 4 
 • šírka svoriek: 4,8 mm 
 • podsvietenie spínača: glim 
 • napájanie podsvietenia: 230 V~ 
 • farba spínača: červená</t>
        </is>
      </c>
    </row>
    <row r="1395">
      <c r="A1395" s="3" t="inlineStr">
        <is>
          <t>STV 06</t>
        </is>
      </c>
      <c r="B1395" s="2" t="inlineStr">
        <is>
          <t>Osvetlený kolískový vypínač, 250V, 2 el.obvody, zelený</t>
        </is>
      </c>
      <c r="C1395" s="1" t="n">
        <v>2.49</v>
      </c>
      <c r="D1395" s="7" t="n">
        <f>HYPERLINK("https://www.somogyi.sk/product/osvetleny-koliskovy-vypinac-250v-2-el-obvody-zeleny-stv-06-2045","https://www.somogyi.sk/product/osvetleny-koliskovy-vypinac-250v-2-el-obvody-zeleny-stv-06-2045")</f>
        <v>0.0</v>
      </c>
      <c r="E1395" s="7" t="n">
        <f>HYPERLINK("https://www.somogyi.sk/data/img/product_main_images/small/02045.jpg","https://www.somogyi.sk/data/img/product_main_images/small/02045.jpg")</f>
        <v>0.0</v>
      </c>
      <c r="F1395" s="2" t="inlineStr">
        <is>
          <t>5998312722442</t>
        </is>
      </c>
      <c r="G1395" s="4" t="inlineStr">
        <is>
          <t xml:space="preserve"> • typ tlačidla: kolískový spínač 
 • počet spínaných elektrických obvodov: 2 
 • pozície spínača: 2 
 • max. napätie: 250 V~ 
 • max. prúd: 6 A 
 • rozmery: 21 x 15 mm 
 • montážne rozmery: 20 x 13 mm 
 • montážna hĺbka: 22 mm 
 • počet svoriek: 4 
 • šírka svoriek: 4,8 mm 
 • podsvietenie spínača: glim 
 • napájanie podsvietenia: 230 V~ 
 • farba spínača: zelená</t>
        </is>
      </c>
    </row>
    <row r="1396">
      <c r="A1396" s="3" t="inlineStr">
        <is>
          <t>STV 02</t>
        </is>
      </c>
      <c r="B1396" s="2" t="inlineStr">
        <is>
          <t>Osvetlený kolískový vypínač, 250V, 2 el.obvody, zelený</t>
        </is>
      </c>
      <c r="C1396" s="1" t="n">
        <v>3.39</v>
      </c>
      <c r="D1396" s="7" t="n">
        <f>HYPERLINK("https://www.somogyi.sk/product/osvetleny-koliskovy-vypinac-250v-2-el-obvody-zeleny-stv-02-1897","https://www.somogyi.sk/product/osvetleny-koliskovy-vypinac-250v-2-el-obvody-zeleny-stv-02-1897")</f>
        <v>0.0</v>
      </c>
      <c r="E1396" s="7" t="n">
        <f>HYPERLINK("https://www.somogyi.sk/data/img/product_main_images/small/01897.jpg","https://www.somogyi.sk/data/img/product_main_images/small/01897.jpg")</f>
        <v>0.0</v>
      </c>
      <c r="F1396" s="2" t="inlineStr">
        <is>
          <t>5998312704516</t>
        </is>
      </c>
      <c r="G1396" s="4" t="inlineStr">
        <is>
          <t xml:space="preserve"> • typ tlačidla: kolískový spínač 
 • počet spínaných elektrických obvodov: 2 
 • pozície spínača: 2 
 • max. napätie: 250 V~ 
 • max. prúd: 10 A 
 • rozmery: 32 x 26 mm 
 • montážne rozmery: 31 x 22 mm 
 • montážna hĺbka: 27 mm 
 • počet svoriek: 4 
 • šírka svoriek: 6,3 mm 
 • podsvietenie spínača: glim 
 • napájanie podsvietenia: 230 V~ 
 • farba spínača: zelená</t>
        </is>
      </c>
    </row>
    <row r="1397">
      <c r="A1397" s="3" t="inlineStr">
        <is>
          <t>AKV 02</t>
        </is>
      </c>
      <c r="B1397" s="2" t="inlineStr">
        <is>
          <t>Osvetlený kolískový vypínač, 12V, 1 el.obvod, zelený</t>
        </is>
      </c>
      <c r="C1397" s="1" t="n">
        <v>1.49</v>
      </c>
      <c r="D1397" s="7" t="n">
        <f>HYPERLINK("https://www.somogyi.sk/product/osvetleny-koliskovy-vypinac-12v-1-el-obvod-zeleny-akv-02-4261","https://www.somogyi.sk/product/osvetleny-koliskovy-vypinac-12v-1-el-obvod-zeleny-akv-02-4261")</f>
        <v>0.0</v>
      </c>
      <c r="E1397" s="7" t="n">
        <f>HYPERLINK("https://www.somogyi.sk/data/img/product_main_images/small/04261.jpg","https://www.somogyi.sk/data/img/product_main_images/small/04261.jpg")</f>
        <v>0.0</v>
      </c>
      <c r="F1397" s="2" t="inlineStr">
        <is>
          <t>5998312708866</t>
        </is>
      </c>
      <c r="G1397" s="4" t="inlineStr">
        <is>
          <t xml:space="preserve"> • typ tlačidla: kolískový spínač 
 • počet spínaných elektrických obvodov: 1 
 • pozície spínača: 2 
 • max. napätie: 12 V 
 • max. prúd: 15 A 
 • rozmery: 21x 15 mm 
 • montážne rozmery: 19 x 13 mm 
 • montážna hĺbka: 22,8 mm 
 • počet svoriek: 3 
 • šírka svoriek: 4,8 mm 
 • podsvietenie spínača: žiarovka 
 • napájanie podsvietenia: 12 V 
 • farba spínača: zelená</t>
        </is>
      </c>
    </row>
    <row r="1398">
      <c r="A1398" s="3" t="inlineStr">
        <is>
          <t>STV 12</t>
        </is>
      </c>
      <c r="B1398" s="2" t="inlineStr">
        <is>
          <t>Osvetlený kolískový vypínač, 250V, 1 el.obvod, zelený</t>
        </is>
      </c>
      <c r="C1398" s="1" t="n">
        <v>2.39</v>
      </c>
      <c r="D1398" s="7" t="n">
        <f>HYPERLINK("https://www.somogyi.sk/product/osvetleny-koliskovy-vypinac-250v-1-el-obvod-zeleny-stv-12-2645","https://www.somogyi.sk/product/osvetleny-koliskovy-vypinac-250v-1-el-obvod-zeleny-stv-12-2645")</f>
        <v>0.0</v>
      </c>
      <c r="E1398" s="7" t="n">
        <f>HYPERLINK("https://www.somogyi.sk/data/img/product_main_images/small/02645.jpg","https://www.somogyi.sk/data/img/product_main_images/small/02645.jpg")</f>
        <v>0.0</v>
      </c>
      <c r="F1398" s="2" t="inlineStr">
        <is>
          <t>5998312729632</t>
        </is>
      </c>
      <c r="G1398" s="4" t="inlineStr">
        <is>
          <t xml:space="preserve"> • typ tlačidla: kolískový spínač 
 • počet spínaných elektrických obvodov: 1 
 • pozície spínača: 2 
 • max. napätie: 250 V~ 
 • max. prúd: 6 A 
 • rozmery: Ø 23 mm 
 • montážne rozmery: Ø 21 mm 
 • montážna hĺbka: 24 mm 
 • počet svoriek: 3 
 • šírka svoriek: 4,8 mm 
 • podsvietenie spínača: glim 
 • napájanie podsvietenia: 230 V~ 
 • farba spínača: zelená</t>
        </is>
      </c>
    </row>
    <row r="1399">
      <c r="A1399" s="3" t="inlineStr">
        <is>
          <t>STV 01</t>
        </is>
      </c>
      <c r="B1399" s="2" t="inlineStr">
        <is>
          <t>Osvetlený kolískový vypínač, 250V, 2 el.obvody, červený</t>
        </is>
      </c>
      <c r="C1399" s="1" t="n">
        <v>3.39</v>
      </c>
      <c r="D1399" s="7" t="n">
        <f>HYPERLINK("https://www.somogyi.sk/product/osvetleny-koliskovy-vypinac-250v-2-el-obvody-cerveny-stv-01-1896","https://www.somogyi.sk/product/osvetleny-koliskovy-vypinac-250v-2-el-obvody-cerveny-stv-01-1896")</f>
        <v>0.0</v>
      </c>
      <c r="E1399" s="7" t="n">
        <f>HYPERLINK("https://www.somogyi.sk/data/img/product_main_images/small/01896.jpg","https://www.somogyi.sk/data/img/product_main_images/small/01896.jpg")</f>
        <v>0.0</v>
      </c>
      <c r="F1399" s="2" t="inlineStr">
        <is>
          <t>5998312704509</t>
        </is>
      </c>
      <c r="G1399" s="4" t="inlineStr">
        <is>
          <t xml:space="preserve"> • typ tlačidla: kolískový spínač 
 • počet spínaných elektrických obvodov: 2 
 • pozície spínača: 2 
 • max. napätie: 250 V~ 
 • max. prúd: 10 A 
 • rozmery: 32 x 26 mm 
 • montážne rozmery: 31 x 22 mm 
 • montážna hĺbka: 27 mm 
 • počet svoriek: 4 
 • šírka svoriek: 6,3 mm 
 • podsvietenie spínača: glim 
 • napájanie podsvietenia: 230 V~ 
 • farba spínača: červená</t>
        </is>
      </c>
    </row>
    <row r="1400">
      <c r="A1400" s="3" t="inlineStr">
        <is>
          <t>AKV 12</t>
        </is>
      </c>
      <c r="B1400" s="2" t="inlineStr">
        <is>
          <t>Osvetlený kolískový vypínač, 12V, 1 el.obvod, zelený</t>
        </is>
      </c>
      <c r="C1400" s="1" t="n">
        <v>1.59</v>
      </c>
      <c r="D1400" s="7" t="n">
        <f>HYPERLINK("https://www.somogyi.sk/product/osvetleny-koliskovy-vypinac-12v-1-el-obvod-zeleny-akv-12-4254","https://www.somogyi.sk/product/osvetleny-koliskovy-vypinac-12v-1-el-obvod-zeleny-akv-12-4254")</f>
        <v>0.0</v>
      </c>
      <c r="E1400" s="7" t="n">
        <f>HYPERLINK("https://www.somogyi.sk/data/img/product_main_images/small/04254.jpg","https://www.somogyi.sk/data/img/product_main_images/small/04254.jpg")</f>
        <v>0.0</v>
      </c>
      <c r="F1400" s="2" t="inlineStr">
        <is>
          <t>5998312708798</t>
        </is>
      </c>
      <c r="G1400" s="4" t="inlineStr">
        <is>
          <t xml:space="preserve"> • typ tlačidla: kolískový spínač 
 • počet spínaných elektrických obvodov: 1 
 • pozície spínača: 2 
 • max. napätie: 12 V 
 • max. prúd: 16 A 
 • rozmery: Ø 23 mm 
 • montážne rozmery: Ø 20 mm 
 • montážna hĺbka: 22,8 mm 
 • počet svoriek: 3 
 • šírka svoriek: 4,8 mm 
 • podsvietenie spínača: žiarovka 
 • napájanie podsvietenia: 12 V 
 • farba spínača: zelená</t>
        </is>
      </c>
    </row>
    <row r="1401">
      <c r="A1401" s="3" t="inlineStr">
        <is>
          <t>STV 08</t>
        </is>
      </c>
      <c r="B1401" s="2" t="inlineStr">
        <is>
          <t>Osvetlený kolískový vypínač, 250V, 1 el.obvod, zelený</t>
        </is>
      </c>
      <c r="C1401" s="1" t="n">
        <v>2.29</v>
      </c>
      <c r="D1401" s="7" t="n">
        <f>HYPERLINK("https://www.somogyi.sk/product/osvetleny-koliskovy-vypinac-250v-1-el-obvod-zeleny-stv-08-2642","https://www.somogyi.sk/product/osvetleny-koliskovy-vypinac-250v-1-el-obvod-zeleny-stv-08-2642")</f>
        <v>0.0</v>
      </c>
      <c r="E1401" s="7" t="n">
        <f>HYPERLINK("https://www.somogyi.sk/data/img/product_main_images/small/02642.jpg","https://www.somogyi.sk/data/img/product_main_images/small/02642.jpg")</f>
        <v>0.0</v>
      </c>
      <c r="F1401" s="2" t="inlineStr">
        <is>
          <t>5998312729601</t>
        </is>
      </c>
      <c r="G1401" s="4" t="inlineStr">
        <is>
          <t xml:space="preserve"> • typ tlačidla: kolískový spínač 
 • počet spínaných elektrických obvodov: 1 
 • pozície spínača: 2 
 • max. napätie: 250 V~ 
 • max. prúd: 6 A 
 • rozmery: Ø 23 mm 
 • montážne rozmery: Ø 21 mm 
 • montážna hĺbka: 24 mm 
 • počet svoriek: 3 
 • šírka svoriek: 4,8 mm 
 • podsvietenie spínača: glim 
 • napájanie podsvietenia: 230 V~ 
 • farba spínača: zelená</t>
        </is>
      </c>
    </row>
    <row r="1402">
      <c r="A1402" s="6" t="inlineStr">
        <is>
          <t xml:space="preserve">   Audio-video doplnky / Telefónny kábel</t>
        </is>
      </c>
      <c r="B1402" s="6" t="inlineStr">
        <is>
          <t/>
        </is>
      </c>
      <c r="C1402" s="6" t="inlineStr">
        <is>
          <t/>
        </is>
      </c>
      <c r="D1402" s="6" t="inlineStr">
        <is>
          <t/>
        </is>
      </c>
      <c r="E1402" s="6" t="inlineStr">
        <is>
          <t/>
        </is>
      </c>
      <c r="F1402" s="6" t="inlineStr">
        <is>
          <t/>
        </is>
      </c>
      <c r="G1402" s="6" t="inlineStr">
        <is>
          <t/>
        </is>
      </c>
    </row>
    <row r="1403">
      <c r="A1403" s="3" t="inlineStr">
        <is>
          <t>TK 1/WH</t>
        </is>
      </c>
      <c r="B1403" s="2" t="inlineStr">
        <is>
          <t>Telefónny kábel, 4 žilový, plochý, 100m/kotúč</t>
        </is>
      </c>
      <c r="C1403" s="1" t="n">
        <v>0.29</v>
      </c>
      <c r="D1403" s="7" t="n">
        <f>HYPERLINK("https://www.somogyi.sk/product/telefonny-kabel-4-zilovy-plochy-100m-kotuc-tk-1-wh-2885","https://www.somogyi.sk/product/telefonny-kabel-4-zilovy-plochy-100m-kotuc-tk-1-wh-2885")</f>
        <v>0.0</v>
      </c>
      <c r="E1403" s="7" t="n">
        <f>HYPERLINK("https://www.somogyi.sk/data/img/product_main_images/small/02885.jpg","https://www.somogyi.sk/data/img/product_main_images/small/02885.jpg")</f>
        <v>0.0</v>
      </c>
      <c r="F1403" s="2" t="inlineStr">
        <is>
          <t>5998312732090</t>
        </is>
      </c>
      <c r="G1403" s="4" t="inlineStr">
        <is>
          <t xml:space="preserve"> • materiál základnej žily: meď 
 • počet žíl: 4 žily 
 • priemer vlákna: 4C x (7 x 0,12 mm) 
 • farba izolácie: biela 
 • meter / kotúč: 100 m</t>
        </is>
      </c>
    </row>
    <row r="1404">
      <c r="A1404" s="6" t="inlineStr">
        <is>
          <t xml:space="preserve">   Audio-video doplnky / Telefónny kábel s konektorom</t>
        </is>
      </c>
      <c r="B1404" s="6" t="inlineStr">
        <is>
          <t/>
        </is>
      </c>
      <c r="C1404" s="6" t="inlineStr">
        <is>
          <t/>
        </is>
      </c>
      <c r="D1404" s="6" t="inlineStr">
        <is>
          <t/>
        </is>
      </c>
      <c r="E1404" s="6" t="inlineStr">
        <is>
          <t/>
        </is>
      </c>
      <c r="F1404" s="6" t="inlineStr">
        <is>
          <t/>
        </is>
      </c>
      <c r="G1404" s="6" t="inlineStr">
        <is>
          <t/>
        </is>
      </c>
    </row>
    <row r="1405">
      <c r="A1405" s="3" t="inlineStr">
        <is>
          <t>T 5-5/WH</t>
        </is>
      </c>
      <c r="B1405" s="2" t="inlineStr">
        <is>
          <t>Telefónny kábel, 6P4C, vidlica-zásuvka, 5m</t>
        </is>
      </c>
      <c r="C1405" s="1" t="n">
        <v>1.89</v>
      </c>
      <c r="D1405" s="7" t="n">
        <f>HYPERLINK("https://www.somogyi.sk/product/telefonny-kabel-6p4c-vidlica-zasuvka-5m-t-5-5-wh-2910","https://www.somogyi.sk/product/telefonny-kabel-6p4c-vidlica-zasuvka-5m-t-5-5-wh-2910")</f>
        <v>0.0</v>
      </c>
      <c r="E1405" s="7" t="n">
        <f>HYPERLINK("https://www.somogyi.sk/data/img/product_main_images/small/02910.jpg","https://www.somogyi.sk/data/img/product_main_images/small/02910.jpg")</f>
        <v>0.0</v>
      </c>
      <c r="F1405" s="2" t="inlineStr">
        <is>
          <t>5998312732342</t>
        </is>
      </c>
      <c r="G1405" s="4" t="inlineStr">
        <is>
          <t xml:space="preserve"> • funkcia / prevedenie: na zapojenie telefónu 
 • prípojky: 2 x (6P / 4C) 
 • pozlátené kontakty: áno 
 • dĺžka kábla: 5 m</t>
        </is>
      </c>
    </row>
    <row r="1406">
      <c r="A1406" s="3" t="inlineStr">
        <is>
          <t>T 5-10/WH</t>
        </is>
      </c>
      <c r="B1406" s="2" t="inlineStr">
        <is>
          <t>Telefónny kábel, 6P4C, vidlica-vidlica, 10m</t>
        </is>
      </c>
      <c r="C1406" s="1" t="n">
        <v>3.29</v>
      </c>
      <c r="D1406" s="7" t="n">
        <f>HYPERLINK("https://www.somogyi.sk/product/telefonny-kabel-6p4c-vidlica-vidlica-10m-t-5-10-wh-2909","https://www.somogyi.sk/product/telefonny-kabel-6p4c-vidlica-vidlica-10m-t-5-10-wh-2909")</f>
        <v>0.0</v>
      </c>
      <c r="E1406" s="7" t="n">
        <f>HYPERLINK("https://www.somogyi.sk/data/img/product_main_images/small/02909.jpg","https://www.somogyi.sk/data/img/product_main_images/small/02909.jpg")</f>
        <v>0.0</v>
      </c>
      <c r="F1406" s="2" t="inlineStr">
        <is>
          <t>5998312732335</t>
        </is>
      </c>
      <c r="G1406" s="4" t="inlineStr">
        <is>
          <t xml:space="preserve"> • funkcia / prevedenie: na zapojenie telefónu 
 • prípojky: 2 x (6P / 4C) 
 • pozlátené kontakty: áno 
 • dĺžka kábla: 10 m</t>
        </is>
      </c>
    </row>
    <row r="1407">
      <c r="A1407" s="3" t="inlineStr">
        <is>
          <t>T 5-5WH/X</t>
        </is>
      </c>
      <c r="B1407" s="2" t="inlineStr">
        <is>
          <t>Telefónny kábel, 6P4C, vidlica-vidlica, 5m, blister</t>
        </is>
      </c>
      <c r="C1407" s="1" t="n">
        <v>2.09</v>
      </c>
      <c r="D1407" s="7" t="n">
        <f>HYPERLINK("https://www.somogyi.sk/product/telefonny-kabel-6p4c-vidlica-vidlica-5m-blister-t-5-5wh-x-2906","https://www.somogyi.sk/product/telefonny-kabel-6p4c-vidlica-vidlica-5m-blister-t-5-5wh-x-2906")</f>
        <v>0.0</v>
      </c>
      <c r="E1407" s="7" t="n">
        <f>HYPERLINK("https://www.somogyi.sk/data/img/product_main_images/small/02906.jpg","https://www.somogyi.sk/data/img/product_main_images/small/02906.jpg")</f>
        <v>0.0</v>
      </c>
      <c r="F1407" s="2" t="inlineStr">
        <is>
          <t>5998312732304</t>
        </is>
      </c>
      <c r="G1407" s="4" t="inlineStr">
        <is>
          <t xml:space="preserve"> • funkcia / prevedenie: na zapojenie telefónu 
 • prípojky: 2 x (6P / 4C) 
 • pozlátené kontakty: áno 
 • dĺžka kábla: 5 m 
 • blister: áno</t>
        </is>
      </c>
    </row>
    <row r="1408">
      <c r="A1408" s="3" t="inlineStr">
        <is>
          <t>T 5-10WH/X</t>
        </is>
      </c>
      <c r="B1408" s="2" t="inlineStr">
        <is>
          <t>Telefónny kábel, 6P4C, vidlica-vidlica, 10m, blister</t>
        </is>
      </c>
      <c r="C1408" s="1" t="n">
        <v>3.49</v>
      </c>
      <c r="D1408" s="7" t="n">
        <f>HYPERLINK("https://www.somogyi.sk/product/telefonny-kabel-6p4c-vidlica-vidlica-10m-blister-t-5-10wh-x-2905","https://www.somogyi.sk/product/telefonny-kabel-6p4c-vidlica-vidlica-10m-blister-t-5-10wh-x-2905")</f>
        <v>0.0</v>
      </c>
      <c r="E1408" s="7" t="n">
        <f>HYPERLINK("https://www.somogyi.sk/data/img/product_main_images/small/02905.jpg","https://www.somogyi.sk/data/img/product_main_images/small/02905.jpg")</f>
        <v>0.0</v>
      </c>
      <c r="F1408" s="2" t="inlineStr">
        <is>
          <t>5998312732298</t>
        </is>
      </c>
      <c r="G1408" s="4" t="inlineStr">
        <is>
          <t xml:space="preserve"> • funkcia / prevedenie: na zapojenie telefónu 
 • prípojky: 2 x (6P / 4C) 
 • pozlátené kontakty: áno 
 • dĺžka kábla: 10 m 
 • blister: áno</t>
        </is>
      </c>
    </row>
    <row r="1409">
      <c r="A1409" s="6" t="inlineStr">
        <is>
          <t xml:space="preserve">   Audio-video doplnky / Náhradný telefónny zvonček</t>
        </is>
      </c>
      <c r="B1409" s="6" t="inlineStr">
        <is>
          <t/>
        </is>
      </c>
      <c r="C1409" s="6" t="inlineStr">
        <is>
          <t/>
        </is>
      </c>
      <c r="D1409" s="6" t="inlineStr">
        <is>
          <t/>
        </is>
      </c>
      <c r="E1409" s="6" t="inlineStr">
        <is>
          <t/>
        </is>
      </c>
      <c r="F1409" s="6" t="inlineStr">
        <is>
          <t/>
        </is>
      </c>
      <c r="G1409" s="6" t="inlineStr">
        <is>
          <t/>
        </is>
      </c>
    </row>
    <row r="1410">
      <c r="A1410" s="3" t="inlineStr">
        <is>
          <t>RINGER</t>
        </is>
      </c>
      <c r="B1410" s="2" t="inlineStr">
        <is>
          <t>Doplnkový telefónny zvonček</t>
        </is>
      </c>
      <c r="C1410" s="1" t="n">
        <v>11.89</v>
      </c>
      <c r="D1410" s="7" t="n">
        <f>HYPERLINK("https://www.somogyi.sk/product/doplnkovy-telefonny-zvoncek-ringer-2945","https://www.somogyi.sk/product/doplnkovy-telefonny-zvoncek-ringer-2945")</f>
        <v>0.0</v>
      </c>
      <c r="E1410" s="7" t="n">
        <f>HYPERLINK("https://www.somogyi.sk/data/img/product_main_images/small/02945.jpg","https://www.somogyi.sk/data/img/product_main_images/small/02945.jpg")</f>
        <v>0.0</v>
      </c>
      <c r="F1410" s="2" t="inlineStr">
        <is>
          <t>5998312732694</t>
        </is>
      </c>
      <c r="G1410" s="4" t="inlineStr">
        <is>
          <t xml:space="preserve"> • funkcia: zvukový a svetelný signál 
 • kompatibilita: ku každej klasickej telefónnej linke • svetelnú signalizáciu nie je možné zaručiť, pretože jeho fungovanie môže závisieť aj od zariadení poskytovateľa (napr. modem) 
 • hlasitosť: vysoká / nízka / vypnutá 
 • príslušenstvo: 1,2 m telefónny kábel</t>
        </is>
      </c>
    </row>
    <row r="1411">
      <c r="A1411" s="6" t="inlineStr">
        <is>
          <t xml:space="preserve">   Audio-video doplnky / Telefónna prípojka, spojka, rozbočovač</t>
        </is>
      </c>
      <c r="B1411" s="6" t="inlineStr">
        <is>
          <t/>
        </is>
      </c>
      <c r="C1411" s="6" t="inlineStr">
        <is>
          <t/>
        </is>
      </c>
      <c r="D1411" s="6" t="inlineStr">
        <is>
          <t/>
        </is>
      </c>
      <c r="E1411" s="6" t="inlineStr">
        <is>
          <t/>
        </is>
      </c>
      <c r="F1411" s="6" t="inlineStr">
        <is>
          <t/>
        </is>
      </c>
      <c r="G1411" s="6" t="inlineStr">
        <is>
          <t/>
        </is>
      </c>
    </row>
    <row r="1412">
      <c r="A1412" s="3" t="inlineStr">
        <is>
          <t>TS 15/WH</t>
        </is>
      </c>
      <c r="B1412" s="2" t="inlineStr">
        <is>
          <t>Telefónna spojka, 6P/4C, zásuvka-zásuvka</t>
        </is>
      </c>
      <c r="C1412" s="1" t="n">
        <v>0.79</v>
      </c>
      <c r="D1412" s="7" t="n">
        <f>HYPERLINK("https://www.somogyi.sk/product/telefonna-spojka-6p-4c-zasuvka-zasuvka-ts-15-wh-2902","https://www.somogyi.sk/product/telefonna-spojka-6p-4c-zasuvka-zasuvka-ts-15-wh-2902")</f>
        <v>0.0</v>
      </c>
      <c r="E1412" s="7" t="n">
        <f>HYPERLINK("https://www.somogyi.sk/data/img/product_main_images/small/02902.jpg","https://www.somogyi.sk/data/img/product_main_images/small/02902.jpg")</f>
        <v>0.0</v>
      </c>
      <c r="F1412" s="2" t="inlineStr">
        <is>
          <t>5998312732267</t>
        </is>
      </c>
      <c r="G1412" s="4" t="inlineStr">
        <is>
          <t xml:space="preserve"> • funkcia: spojka 
 • prípojka: zásuvka / zásuvka 
 • pól / kontakt: 6P / 4C 
 • farba: biela</t>
        </is>
      </c>
    </row>
    <row r="1413">
      <c r="A1413" s="3" t="inlineStr">
        <is>
          <t>TS 15WH/X</t>
        </is>
      </c>
      <c r="B1413" s="2" t="inlineStr">
        <is>
          <t>Telefónna spojka, 6P4C, zásuvka-zásuvka, blister</t>
        </is>
      </c>
      <c r="C1413" s="1" t="n">
        <v>0.99</v>
      </c>
      <c r="D1413" s="7" t="n">
        <f>HYPERLINK("https://www.somogyi.sk/product/telefonna-spojka-6p4c-zasuvka-zasuvka-blister-ts-15wh-x-2935","https://www.somogyi.sk/product/telefonna-spojka-6p4c-zasuvka-zasuvka-blister-ts-15wh-x-2935")</f>
        <v>0.0</v>
      </c>
      <c r="E1413" s="7" t="n">
        <f>HYPERLINK("https://www.somogyi.sk/data/img/product_main_images/small/02935.jpg","https://www.somogyi.sk/data/img/product_main_images/small/02935.jpg")</f>
        <v>0.0</v>
      </c>
      <c r="F1413" s="2" t="inlineStr">
        <is>
          <t>5998312732595</t>
        </is>
      </c>
      <c r="G1413" s="4" t="inlineStr">
        <is>
          <t xml:space="preserve"> • funkcia: spojka 
 • prípojka: zásuvka / zásuvka 
 • pól / kontakt: 6P / 4C 
 • farba: biela 
 • blister: áno</t>
        </is>
      </c>
    </row>
    <row r="1414">
      <c r="A1414" s="3" t="inlineStr">
        <is>
          <t>TS 16-2WH/X</t>
        </is>
      </c>
      <c r="B1414" s="2" t="inlineStr">
        <is>
          <t>Telefónny rozbočovač, 6P4C, 1 vidlica-2 zásuvky, blister</t>
        </is>
      </c>
      <c r="C1414" s="1" t="n">
        <v>1.09</v>
      </c>
      <c r="D1414" s="7" t="n">
        <f>HYPERLINK("https://www.somogyi.sk/product/telefonny-rozbocovac-6p4c-1-vidlica-2-zasuvky-blister-ts-16-2wh-x-2936","https://www.somogyi.sk/product/telefonny-rozbocovac-6p4c-1-vidlica-2-zasuvky-blister-ts-16-2wh-x-2936")</f>
        <v>0.0</v>
      </c>
      <c r="E1414" s="7" t="n">
        <f>HYPERLINK("https://www.somogyi.sk/data/img/product_main_images/small/02936.jpg","https://www.somogyi.sk/data/img/product_main_images/small/02936.jpg")</f>
        <v>0.0</v>
      </c>
      <c r="F1414" s="2" t="inlineStr">
        <is>
          <t>5998312732601</t>
        </is>
      </c>
      <c r="G1414" s="4" t="inlineStr">
        <is>
          <t xml:space="preserve"> • funkcia: rozbočovač 
 • prípojka: vidlica / 2 x zásuvka 
 • pól / kontakt: 6P / 4C 
 • farba: biela 
 • blister: áno</t>
        </is>
      </c>
    </row>
    <row r="1415">
      <c r="A1415" s="3" t="inlineStr">
        <is>
          <t>TS 13</t>
        </is>
      </c>
      <c r="B1415" s="2" t="inlineStr">
        <is>
          <t>Telefónna vidlica, 6P4C, RJ11</t>
        </is>
      </c>
      <c r="C1415" s="1" t="n">
        <v>0.09</v>
      </c>
      <c r="D1415" s="7" t="n">
        <f>HYPERLINK("https://www.somogyi.sk/product/telefonna-vidlica-6p4c-rj11-ts-13-1930","https://www.somogyi.sk/product/telefonna-vidlica-6p4c-rj11-ts-13-1930")</f>
        <v>0.0</v>
      </c>
      <c r="E1415" s="7" t="n">
        <f>HYPERLINK("https://www.somogyi.sk/data/img/product_main_images/small/01930.jpg","https://www.somogyi.sk/data/img/product_main_images/small/01930.jpg")</f>
        <v>0.0</v>
      </c>
      <c r="F1415" s="2" t="inlineStr">
        <is>
          <t>5998312705339</t>
        </is>
      </c>
      <c r="G1415" s="4" t="inlineStr">
        <is>
          <t xml:space="preserve"> • funkcia: prípojka 
 • prípojka: vidlica 
 • pól / kontakt: 6P / 4C 
 • zapojenie: lisovacia koncovka</t>
        </is>
      </c>
    </row>
    <row r="1416">
      <c r="A1416" s="3" t="inlineStr">
        <is>
          <t>TS 51</t>
        </is>
      </c>
      <c r="B1416" s="2" t="inlineStr">
        <is>
          <t>Telefónna vidlica, 8P8C, RJ45</t>
        </is>
      </c>
      <c r="C1416" s="1" t="n">
        <v>0.29</v>
      </c>
      <c r="D1416" s="7" t="n">
        <f>HYPERLINK("https://www.somogyi.sk/product/telefonna-vidlica-8p8c-rj45-ts-51-4709","https://www.somogyi.sk/product/telefonna-vidlica-8p8c-rj45-ts-51-4709")</f>
        <v>0.0</v>
      </c>
      <c r="E1416" s="7" t="n">
        <f>HYPERLINK("https://www.somogyi.sk/data/img/product_main_images/small/04709.jpg","https://www.somogyi.sk/data/img/product_main_images/small/04709.jpg")</f>
        <v>0.0</v>
      </c>
      <c r="F1416" s="2" t="inlineStr">
        <is>
          <t>5998312741542</t>
        </is>
      </c>
      <c r="G1416" s="4" t="inlineStr">
        <is>
          <t xml:space="preserve"> • funkcia: prípojka 
 • prípojka: vidlica 
 • pól / kontakt: 8P / 8C 
 • zapojenie: lisovacia koncovka</t>
        </is>
      </c>
    </row>
    <row r="1417">
      <c r="A1417" s="3" t="inlineStr">
        <is>
          <t>TS 51PRO</t>
        </is>
      </c>
      <c r="B1417" s="2" t="inlineStr">
        <is>
          <t>Prechodová RJ45 vidlica</t>
        </is>
      </c>
      <c r="C1417" s="1" t="n">
        <v>0.29</v>
      </c>
      <c r="D1417" s="7" t="n">
        <f>HYPERLINK("https://www.somogyi.sk/product/prechodova-rj45-vidlica-ts-51pro-17857","https://www.somogyi.sk/product/prechodova-rj45-vidlica-ts-51pro-17857")</f>
        <v>0.0</v>
      </c>
      <c r="E1417" s="7" t="n">
        <f>HYPERLINK("https://www.somogyi.sk/data/img/product_main_images/small/17857.jpg","https://www.somogyi.sk/data/img/product_main_images/small/17857.jpg")</f>
        <v>0.0</v>
      </c>
      <c r="F1417" s="2" t="inlineStr">
        <is>
          <t>5999084958794</t>
        </is>
      </c>
      <c r="G1417" s="4" t="inlineStr">
        <is>
          <t xml:space="preserve"> • otvorená predná strana 
 • rýchlejšie zapojenie, menej chýb, lepší kontakt 
 • môže sa používať aj s bežnými lisovacími kliešťami</t>
        </is>
      </c>
    </row>
    <row r="1418">
      <c r="A1418" s="3" t="inlineStr">
        <is>
          <t>TS 13X</t>
        </is>
      </c>
      <c r="B1418" s="2" t="inlineStr">
        <is>
          <t>Telefónna vidlica, 6P4C, RJ11, blister</t>
        </is>
      </c>
      <c r="C1418" s="1" t="n">
        <v>0.69</v>
      </c>
      <c r="D1418" s="7" t="n">
        <f>HYPERLINK("https://www.somogyi.sk/product/telefonna-vidlica-6p4c-rj11-blister-ts-13x-2281","https://www.somogyi.sk/product/telefonna-vidlica-6p4c-rj11-blister-ts-13x-2281")</f>
        <v>0.0</v>
      </c>
      <c r="E1418" s="7" t="n">
        <f>HYPERLINK("https://www.somogyi.sk/data/img/product_main_images/small/02281.jpg","https://www.somogyi.sk/data/img/product_main_images/small/02281.jpg")</f>
        <v>0.0</v>
      </c>
      <c r="F1418" s="2" t="inlineStr">
        <is>
          <t>5998312725474</t>
        </is>
      </c>
      <c r="G1418" s="4" t="inlineStr">
        <is>
          <t xml:space="preserve"> • funkcia: prípojka 
 • prípojka: vidlica 
 • pól / kontakt: 6P / 4C 
 • zapojenie: lisovacia koncovka 
 • blister: áno</t>
        </is>
      </c>
    </row>
    <row r="1419">
      <c r="A1419" s="3" t="inlineStr">
        <is>
          <t>TT 1-1</t>
        </is>
      </c>
      <c r="B1419" s="2" t="inlineStr">
        <is>
          <t>ISDN spojka, 8P8C, zásuvka-zásuvka</t>
        </is>
      </c>
      <c r="C1419" s="1" t="n">
        <v>1.49</v>
      </c>
      <c r="D1419" s="7" t="n">
        <f>HYPERLINK("https://www.somogyi.sk/product/isdn-spojka-8p8c-zasuvka-zasuvka-tt-1-1-5234","https://www.somogyi.sk/product/isdn-spojka-8p8c-zasuvka-zasuvka-tt-1-1-5234")</f>
        <v>0.0</v>
      </c>
      <c r="E1419" s="7" t="n">
        <f>HYPERLINK("https://www.somogyi.sk/data/img/product_main_images/small/05234.jpg","https://www.somogyi.sk/data/img/product_main_images/small/05234.jpg")</f>
        <v>0.0</v>
      </c>
      <c r="F1419" s="2" t="inlineStr">
        <is>
          <t>5998312746219</t>
        </is>
      </c>
      <c r="G1419" s="4" t="inlineStr">
        <is>
          <t xml:space="preserve"> • funkcia: spojka 
 • prípojka: zásuvka / zásuvka 
 • pól / kontakt: 8P / 8C 
 • farba: biela</t>
        </is>
      </c>
    </row>
    <row r="1420">
      <c r="A1420" s="3" t="inlineStr">
        <is>
          <t>TS 16-2/WH</t>
        </is>
      </c>
      <c r="B1420" s="2" t="inlineStr">
        <is>
          <t>Rozbočovač k telefónnemu káblu, 6P4C, 1 vidlica-2 zásuvky</t>
        </is>
      </c>
      <c r="C1420" s="1" t="n">
        <v>0.99</v>
      </c>
      <c r="D1420" s="7" t="n">
        <f>HYPERLINK("https://www.somogyi.sk/product/rozbocovac-k-telefonnemu-kablu-6p4c-1-vidlica-2-zasuvky-ts-16-2-wh-2903","https://www.somogyi.sk/product/rozbocovac-k-telefonnemu-kablu-6p4c-1-vidlica-2-zasuvky-ts-16-2-wh-2903")</f>
        <v>0.0</v>
      </c>
      <c r="E1420" s="7" t="n">
        <f>HYPERLINK("https://www.somogyi.sk/data/img/product_main_images/small/02903.jpg","https://www.somogyi.sk/data/img/product_main_images/small/02903.jpg")</f>
        <v>0.0</v>
      </c>
      <c r="F1420" s="2" t="inlineStr">
        <is>
          <t>5998312732274</t>
        </is>
      </c>
      <c r="G1420" s="4" t="inlineStr">
        <is>
          <t xml:space="preserve"> • funkcia: rozbočovač 
 • prípojka: vidlica / 2 x zásuvka 
 • pól / kontakt: 6P / 4C 
 • farba: biela</t>
        </is>
      </c>
    </row>
    <row r="1421">
      <c r="A1421" s="3" t="inlineStr">
        <is>
          <t>TS 52/WH</t>
        </is>
      </c>
      <c r="B1421" s="2" t="inlineStr">
        <is>
          <t>Kryt k telefónnej vidlici RJ-45</t>
        </is>
      </c>
      <c r="C1421" s="1" t="n">
        <v>0.19</v>
      </c>
      <c r="D1421" s="7" t="n">
        <f>HYPERLINK("https://www.somogyi.sk/product/kryt-k-telefonnej-vidlici-rj-45-ts-52-wh-4737","https://www.somogyi.sk/product/kryt-k-telefonnej-vidlici-rj-45-ts-52-wh-4737")</f>
        <v>0.0</v>
      </c>
      <c r="E1421" s="7" t="n">
        <f>HYPERLINK("https://www.somogyi.sk/data/img/product_main_images/small/04737.jpg","https://www.somogyi.sk/data/img/product_main_images/small/04737.jpg")</f>
        <v>0.0</v>
      </c>
      <c r="F1421" s="2" t="inlineStr">
        <is>
          <t>5998312741818</t>
        </is>
      </c>
      <c r="G1421" s="4" t="inlineStr">
        <is>
          <t xml:space="preserve"> • funkcia: kryt k telefónnej vidlici RJ 45 
 • farba: biela</t>
        </is>
      </c>
    </row>
    <row r="1422">
      <c r="A1422" s="3" t="inlineStr">
        <is>
          <t>TS 1M/WH</t>
        </is>
      </c>
      <c r="B1422" s="2" t="inlineStr">
        <is>
          <t>Telefónna nástenná zásuvka, 1x6P4C</t>
        </is>
      </c>
      <c r="C1422" s="1" t="n">
        <v>2.29</v>
      </c>
      <c r="D1422" s="7" t="n">
        <f>HYPERLINK("https://www.somogyi.sk/product/telefonna-nastenna-zasuvka-1x6p4c-ts-1m-wh-2911","https://www.somogyi.sk/product/telefonna-nastenna-zasuvka-1x6p4c-ts-1m-wh-2911")</f>
        <v>0.0</v>
      </c>
      <c r="E1422" s="7" t="n">
        <f>HYPERLINK("https://www.somogyi.sk/data/img/product_main_images/small/02911.jpg","https://www.somogyi.sk/data/img/product_main_images/small/02911.jpg")</f>
        <v>0.0</v>
      </c>
      <c r="F1422" s="2" t="inlineStr">
        <is>
          <t>5998312732359</t>
        </is>
      </c>
      <c r="G1422" s="4" t="inlineStr">
        <is>
          <t xml:space="preserve"> • funkcia: nástenná zásuvka 
 • prípojka: zásuvka 
 • pól / kontakt: 6P / 4C 
 • farba: biela 
 • zapojenie: skrutkovateľná koncovka</t>
        </is>
      </c>
    </row>
    <row r="1423">
      <c r="A1423" s="3" t="inlineStr">
        <is>
          <t>TS 17-2</t>
        </is>
      </c>
      <c r="B1423" s="2" t="inlineStr">
        <is>
          <t>Rozbočovač k telefónnemu káblu, 6P4C, 1 zásuvka-2 zásuvky</t>
        </is>
      </c>
      <c r="C1423" s="1" t="n">
        <v>1.09</v>
      </c>
      <c r="D1423" s="7" t="n">
        <f>HYPERLINK("https://www.somogyi.sk/product/rozbocovac-k-telefonnemu-kablu-6p4c-1-zasuvka-2-zasuvky-ts-17-2-5232","https://www.somogyi.sk/product/rozbocovac-k-telefonnemu-kablu-6p4c-1-zasuvka-2-zasuvky-ts-17-2-5232")</f>
        <v>0.0</v>
      </c>
      <c r="E1423" s="7" t="n">
        <f>HYPERLINK("https://www.somogyi.sk/data/img/product_main_images/small/05232.jpg","https://www.somogyi.sk/data/img/product_main_images/small/05232.jpg")</f>
        <v>0.0</v>
      </c>
      <c r="F1423" s="2" t="inlineStr">
        <is>
          <t>5998312746196</t>
        </is>
      </c>
      <c r="G1423" s="4" t="inlineStr">
        <is>
          <t xml:space="preserve"> • funkcia: rozbočovač 
 • prípojka: zásuvka / 2 x zásuvka 
 • pól / kontakt: 6P / 4C 
 • farba: biela</t>
        </is>
      </c>
    </row>
    <row r="1424">
      <c r="A1424" s="3" t="inlineStr">
        <is>
          <t>TS 1MWH/X</t>
        </is>
      </c>
      <c r="B1424" s="2" t="inlineStr">
        <is>
          <t>Telefónna nástenná zásuvka, 1x6P4C, blister</t>
        </is>
      </c>
      <c r="C1424" s="1" t="n">
        <v>2.49</v>
      </c>
      <c r="D1424" s="7" t="n">
        <f>HYPERLINK("https://www.somogyi.sk/product/telefonna-nastenna-zasuvka-1x6p4c-blister-ts-1mwh-x-2938","https://www.somogyi.sk/product/telefonna-nastenna-zasuvka-1x6p4c-blister-ts-1mwh-x-2938")</f>
        <v>0.0</v>
      </c>
      <c r="E1424" s="7" t="n">
        <f>HYPERLINK("https://www.somogyi.sk/data/img/product_main_images/small/02938.jpg","https://www.somogyi.sk/data/img/product_main_images/small/02938.jpg")</f>
        <v>0.0</v>
      </c>
      <c r="F1424" s="2" t="inlineStr">
        <is>
          <t>5998312732625</t>
        </is>
      </c>
      <c r="G1424" s="4" t="inlineStr">
        <is>
          <t xml:space="preserve"> • funkcia: nástenná zásuvka 
 • prípojka: zásuvka 
 • pól / kontakt: 6P / 4C 
 • farba: biela 
 • zapojenie: skrutkovateľná 
 • blister: áno</t>
        </is>
      </c>
    </row>
    <row r="1425">
      <c r="A1425" s="6" t="inlineStr">
        <is>
          <t xml:space="preserve">   Audio-video doplnky / Dutinka</t>
        </is>
      </c>
      <c r="B1425" s="6" t="inlineStr">
        <is>
          <t/>
        </is>
      </c>
      <c r="C1425" s="6" t="inlineStr">
        <is>
          <t/>
        </is>
      </c>
      <c r="D1425" s="6" t="inlineStr">
        <is>
          <t/>
        </is>
      </c>
      <c r="E1425" s="6" t="inlineStr">
        <is>
          <t/>
        </is>
      </c>
      <c r="F1425" s="6" t="inlineStr">
        <is>
          <t/>
        </is>
      </c>
      <c r="G1425" s="6" t="inlineStr">
        <is>
          <t/>
        </is>
      </c>
    </row>
    <row r="1426">
      <c r="A1426" s="3" t="inlineStr">
        <is>
          <t>EVHSET</t>
        </is>
      </c>
      <c r="B1426" s="2" t="inlineStr">
        <is>
          <t>Sada dutiniek, 1200 ks, izolované</t>
        </is>
      </c>
      <c r="C1426" s="1" t="n">
        <v>14.19</v>
      </c>
      <c r="D1426" s="7" t="n">
        <f>HYPERLINK("https://www.somogyi.sk/product/sada-dutiniek-1200-ks-izolovane-evhset-18714","https://www.somogyi.sk/product/sada-dutiniek-1200-ks-izolovane-evhset-18714")</f>
        <v>0.0</v>
      </c>
      <c r="E1426" s="7" t="n">
        <f>HYPERLINK("https://www.somogyi.sk/data/img/product_main_images/small/18714.jpg","https://www.somogyi.sk/data/img/product_main_images/small/18714.jpg")</f>
        <v>0.0</v>
      </c>
      <c r="F1426" s="2" t="inlineStr">
        <is>
          <t>5999084967321</t>
        </is>
      </c>
      <c r="G1426" s="4" t="inlineStr">
        <is>
          <t xml:space="preserve"> • 7 veľkostí, izolované, 1200 ks 
 • zmiešané: 0,5-6,00 mm2   
 • 0.5mm2 (200db) 
 • 0.75mm2 (200db) 
 • 1mm2 (200db) 
 • 1.5mm2 (250db) 
 • 2.5mm2 (250db) 
 • 4.0mm2 (50db) 
 • 6.0mm2  (50db) 
 • odporúčaný nástroj: EVHF6</t>
        </is>
      </c>
    </row>
    <row r="1427">
      <c r="A1427" s="6" t="inlineStr">
        <is>
          <t xml:space="preserve">   Meranie, nástroje, spájkovanie / Multimeter</t>
        </is>
      </c>
      <c r="B1427" s="6" t="inlineStr">
        <is>
          <t/>
        </is>
      </c>
      <c r="C1427" s="6" t="inlineStr">
        <is>
          <t/>
        </is>
      </c>
      <c r="D1427" s="6" t="inlineStr">
        <is>
          <t/>
        </is>
      </c>
      <c r="E1427" s="6" t="inlineStr">
        <is>
          <t/>
        </is>
      </c>
      <c r="F1427" s="6" t="inlineStr">
        <is>
          <t/>
        </is>
      </c>
      <c r="G1427" s="6" t="inlineStr">
        <is>
          <t/>
        </is>
      </c>
    </row>
    <row r="1428">
      <c r="A1428" s="3" t="inlineStr">
        <is>
          <t>SMA 19</t>
        </is>
      </c>
      <c r="B1428" s="2" t="inlineStr">
        <is>
          <t>Digitálny multimeter</t>
        </is>
      </c>
      <c r="C1428" s="1" t="n">
        <v>50.19</v>
      </c>
      <c r="D1428" s="7" t="n">
        <f>HYPERLINK("https://www.somogyi.sk/product/digitalny-multimeter-sma-19-16090","https://www.somogyi.sk/product/digitalny-multimeter-sma-19-16090")</f>
        <v>0.0</v>
      </c>
      <c r="E1428" s="7" t="n">
        <f>HYPERLINK("https://www.somogyi.sk/data/img/product_main_images/small/16090.jpg","https://www.somogyi.sk/data/img/product_main_images/small/16090.jpg")</f>
        <v>0.0</v>
      </c>
      <c r="F1428" s="2" t="inlineStr">
        <is>
          <t>5999084941222</t>
        </is>
      </c>
      <c r="G1428" s="4" t="inlineStr">
        <is>
          <t xml:space="preserve"> • jednosmerné napätie: 600 mV / 6 V / 60 V / 600 V / 1000 V 
 • striedavé napätie: 6 V / 60 V / 600 V / 750 V 
 • jednosmerný prúd: 60 µA / 600 µA / 6 mA / 60mA / 600 mA / 10 A 
 • striedavý prúd: 60 µA / 600 µA / 6 mA / 60mA / 600 mA / 10 A 
 • odpor: 600 Ω / 6 KΩ / 60 KΩ / 600 KΩ  / 6 MΩ / 60  MΩ 
 • kapacita: 6 nF / 60 nF / 600 nF / 6µF / 60  µF / 600  µF / 60  mF / 100  mF 
 • frekvencia: 9.999 Hz - 9.999 MHz 
 • teplota: -20 °C - 1000 °C 
 • displej: digitálny 
 • počítadlo: 6000 
 • test diódy: áno 
 • test prerušenia obvodu: áno 
 • meranie tranzistora: áno 
 • automatická zmena meracej hranice: áno 
 • osvetlenie pozadia: áno 
 • kategória merania: CAT IV 600 V, CAT III 1000 
 • rozmery: 204 x 93 x 57 mm</t>
        </is>
      </c>
    </row>
    <row r="1429">
      <c r="A1429" s="3" t="inlineStr">
        <is>
          <t>M 266AC</t>
        </is>
      </c>
      <c r="B1429" s="2" t="inlineStr">
        <is>
          <t>AC kliešťový multimeter</t>
        </is>
      </c>
      <c r="C1429" s="1" t="n">
        <v>30.19</v>
      </c>
      <c r="D1429" s="7" t="n">
        <f>HYPERLINK("https://www.somogyi.sk/product/ac-kliestovy-multimeter-m-266ac-16381","https://www.somogyi.sk/product/ac-kliestovy-multimeter-m-266ac-16381")</f>
        <v>0.0</v>
      </c>
      <c r="E1429" s="7" t="n">
        <f>HYPERLINK("https://www.somogyi.sk/data/img/product_main_images/small/16381.jpg","https://www.somogyi.sk/data/img/product_main_images/small/16381.jpg")</f>
        <v>0.0</v>
      </c>
      <c r="F1429" s="2" t="inlineStr">
        <is>
          <t>5999084944131</t>
        </is>
      </c>
      <c r="G1429" s="4" t="inlineStr">
        <is>
          <t xml:space="preserve"> • jednosmerné napätie: 1000 V 
 • striedavé napätie: 750 V 
 • striedavý prúd: 200 A / 1000 A 
 • odpor: 200 Ω / 20 KΩ 
 • displej: 3 1/2 digitový LCD 
 • počítadlo: 1999 
 • test prerušenia obvodu: áno 
 • osvetlenie pozadia: áno 
 • napájanie: 9 V (6F22) 
 • kategória merania: CAT II 1000 V, CAT III 600 V 
 • uloženie meranej hodnoty: áno 
 • rozmery: 96 mm x 235 mm x 46 mm</t>
        </is>
      </c>
    </row>
    <row r="1430">
      <c r="A1430" s="3" t="inlineStr">
        <is>
          <t>SMA 92</t>
        </is>
      </c>
      <c r="B1430" s="2" t="inlineStr">
        <is>
          <t>Digitálny multimeter</t>
        </is>
      </c>
      <c r="C1430" s="1" t="n">
        <v>27.79</v>
      </c>
      <c r="D1430" s="7" t="n">
        <f>HYPERLINK("https://www.somogyi.sk/product/digitalny-multimeter-sma-92-13761","https://www.somogyi.sk/product/digitalny-multimeter-sma-92-13761")</f>
        <v>0.0</v>
      </c>
      <c r="E1430" s="7" t="n">
        <f>HYPERLINK("https://www.somogyi.sk/data/img/product_main_images/small/13761.jpg","https://www.somogyi.sk/data/img/product_main_images/small/13761.jpg")</f>
        <v>0.0</v>
      </c>
      <c r="F1430" s="2" t="inlineStr">
        <is>
          <t>5999084918132</t>
        </is>
      </c>
      <c r="G1430" s="4" t="inlineStr">
        <is>
          <t xml:space="preserve"> • jednosmerné napätie: 200 mV / 2 V / 20 V / 200 V / 600 V 
 • striedavé napätie: 2 V / 20 V / 200 V / 600 V 
 • jednosmerný prúd: 200 µA /  2 mA / 20 mA / 200 mA / 10 A 
 • striedavý prúd: 200 µA / 2 mA / 20 mA / 200 mA / 10 A 
 • odpor: 200 Ω / 2 KΩ / 20 kΩ / 200 KΩ  / 2 MΩ / 20 MΩ 
 • frekvencia: 20 KHz 
 • displej: digitálny 
 • počítadlo: 1999 
 • test diódy: áno 
 • test prerušenia obvodu: áno 
 • automatická zmena meracej hranice: áno 
 • uloženie maximálnej/minimálnej hodnoty: áno 
 • automatické vypnutie: áno 
 • osvetlenie pozadia: áno 
 • napájanie: 9 V (6F22) 
 • kategória merania: CAT II 600 V 
 • uloženie meranej hodnoty: áno 
 • rozmery: 140 mm x 67 mm x 30 mm 
 • príslušenstvo: merací hrot, batéria</t>
        </is>
      </c>
    </row>
    <row r="1431">
      <c r="A1431" s="3" t="inlineStr">
        <is>
          <t>SMA 64</t>
        </is>
      </c>
      <c r="B1431" s="2" t="inlineStr">
        <is>
          <t>Digitálny multimeter</t>
        </is>
      </c>
      <c r="C1431" s="1" t="n">
        <v>53.19</v>
      </c>
      <c r="D1431" s="7" t="n">
        <f>HYPERLINK("https://www.somogyi.sk/product/digitalny-multimeter-sma-64-13759","https://www.somogyi.sk/product/digitalny-multimeter-sma-64-13759")</f>
        <v>0.0</v>
      </c>
      <c r="E1431" s="7" t="n">
        <f>HYPERLINK("https://www.somogyi.sk/data/img/product_main_images/small/13759.jpg","https://www.somogyi.sk/data/img/product_main_images/small/13759.jpg")</f>
        <v>0.0</v>
      </c>
      <c r="F1431" s="2" t="inlineStr">
        <is>
          <t>5999084918118</t>
        </is>
      </c>
      <c r="G1431" s="4" t="inlineStr">
        <is>
          <t xml:space="preserve"> • jednosmerné napätie: 200 mV / 2 V / 20 V / 200 V / 1000 V 
 • striedavé napätie: 2 V / 20 V / 200 V /750 V 
 • jednosmerný prúd: 2 mA / 20 mA / 200 mA / 10 A 
 • striedavý prúd: 20 mA / 200 mA / 10 A 
 • odpor: 200 Ω / 2 KΩ / 20 kΩ / 200 KΩ  / 2 MΩ / 20  MΩ /  200 MΩ 
 • kapacita: 2 nF / 20 nF / 200 nF / 2µF / 200  µF 
 • frekvencia: 20 KHz 
 • teplota: -20 °C - 1000 °C 
 • displej: digitálny 
 • počítadlo: 1999 
 • test diódy: áno 
 • test prerušenia obvodu: áno 
 • meranie tranzistora: áno 
 • ručná zmena meracej hranice: áno 
 • automatické vypnutie: áno 
 • napájanie: 9 V (6F22) 
 • kategória merania: CAT II 1000 V, CAT III 600 V 
 • uloženie meranej hodnoty: áno 
 • rozmery: 195 mm x 92 mm x 55 mm 
 • príslušenstvo: merací hrot, sonda na meranie teploty, zásuvka na testovanie tranzistora, batéria</t>
        </is>
      </c>
    </row>
    <row r="1432">
      <c r="A1432" s="3" t="inlineStr">
        <is>
          <t>SMAIRCAM</t>
        </is>
      </c>
      <c r="B1432" s="2" t="inlineStr">
        <is>
          <t>Termokamera multimeter</t>
        </is>
      </c>
      <c r="C1432" s="1" t="n">
        <v>194.9</v>
      </c>
      <c r="D1432" s="7" t="n">
        <f>HYPERLINK("https://www.somogyi.sk/product/termokamera-multimeter-smaircam-18515","https://www.somogyi.sk/product/termokamera-multimeter-smaircam-18515")</f>
        <v>0.0</v>
      </c>
      <c r="E1432" s="7" t="n">
        <f>HYPERLINK("https://www.somogyi.sk/data/img/product_main_images/small/18515.jpg","https://www.somogyi.sk/data/img/product_main_images/small/18515.jpg")</f>
        <v>0.0</v>
      </c>
      <c r="F1432" s="2" t="inlineStr">
        <is>
          <t>5999084965334</t>
        </is>
      </c>
      <c r="G1432" s="4" t="inlineStr">
        <is>
          <t xml:space="preserve"> • použiteľnosť: 2in1: termokamera a multimeter 
 • jednosmerné napätie: 400 mV / 4 V / 40 V / 400 V / 1000 V 
 • striedavé napätie: 400 mV / 4 V / 40 V / 400 V / 750 V 
 • odpor: 400 Ω / 4 KΩ / 40 kΩ / 400 KΩ  / 4 MΩ  / 40 MΩ 
 • kapacita: 51,20 nF / 512,0 nF / 5,120 µF / 51,20 µF / 100,0 µF 
 • frekvencia: 40 – 500 Hz 
 • teplota: -40 °C – 300 °C (termokamera) 
 • displej: 2.8” TFT LCD, 240x320p 
 • počítadlo: max.4000 
 • USB prípojka: áno 
 • test diódy: áno 
 • test prerušenia obvodu: áno 
 • ručná zmena meracej hranice: áno 
 • automatická zmena meracej hranice: áno 
 • automatické vypnutie: nastaviteľné automatické vypnutie 
 • napájanie: 3 x AAA (1.5V) batéria, nie je príslušenstvom 
 • kategória merania: CAT II 600 V 
 • uloženie meranej hodnoty: záznam nameranej hodnoty a zobrazenie na grafe 
 • rozmery: 69 x 134 x 25 mm 
 • hmotnosť: 130 g</t>
        </is>
      </c>
    </row>
    <row r="1433">
      <c r="A1433" s="3" t="inlineStr">
        <is>
          <t>SMA 2101</t>
        </is>
      </c>
      <c r="B1433" s="2" t="inlineStr">
        <is>
          <t>Kliešťový multimeter AC / DC</t>
        </is>
      </c>
      <c r="C1433" s="1" t="n">
        <v>87.79</v>
      </c>
      <c r="D1433" s="7" t="n">
        <f>HYPERLINK("https://www.somogyi.sk/product/kliestovy-multimeter-ac-dc-sma-2101-13764","https://www.somogyi.sk/product/kliestovy-multimeter-ac-dc-sma-2101-13764")</f>
        <v>0.0</v>
      </c>
      <c r="E1433" s="7" t="n">
        <f>HYPERLINK("https://www.somogyi.sk/data/img/product_main_images/small/13764.jpg","https://www.somogyi.sk/data/img/product_main_images/small/13764.jpg")</f>
        <v>0.0</v>
      </c>
      <c r="F1433" s="2" t="inlineStr">
        <is>
          <t>5999084918163</t>
        </is>
      </c>
      <c r="G1433" s="4" t="inlineStr">
        <is>
          <t xml:space="preserve"> • jednosmerné napätie: 400 mV / 4 V / 40 V / 400 V / 600 V 
 • striedavé napätie: 4 V / 40 V / 400 V / 600 V 
 • jednosmerný prúd: 40 A / 400 A 
 • striedavý prúd: 40 A / 400 A 
 • odpor: 400 Ω / 4 KΩ / 40 kΩ / 400 KΩ  / 4 MΩ  / 40 MΩ 
 • kapacita: 40 nF / 400 nF / 4 µF / 40  µF/ 400  µF / 4000  µF / 
 • frekvencia: 9,999 Hz / 99,99 Hz / 999,9 Hz /9,999 KHz / 99,99 KHz / 999,9 KHz / 9,999 MHz 
 • faktor vyplnenia: 0 - 100 % 
 • displej: digitálny 
 • počítadlo: 4000 
 • test diódy: áno 
 • test prerušenia obvodu: áno 
 • relatívne meranie: áno 
 • ručná zmena meracej hranice: áno 
 • automatická zmena meracej hranice: áno 
 • uloženie maximálnej/minimálnej hodnoty: áno 
 • automatické vypnutie: áno 
 • osvetlenie pozadia: áno 
 • napájanie: 3 x 1,5 V (AAA) 
 • kategória merania: CAT III 600 V 
 • uloženie meranej hodnoty: áno 
 • rozmery: 208 mm x 78 mm x 35 mm 
 • príslušenstvo: merací hrot, ochranné puzdro, batéria</t>
        </is>
      </c>
    </row>
    <row r="1434">
      <c r="A1434" s="3" t="inlineStr">
        <is>
          <t>VC 830L</t>
        </is>
      </c>
      <c r="B1434" s="2" t="inlineStr">
        <is>
          <t>Digitálny multimeter</t>
        </is>
      </c>
      <c r="C1434" s="1" t="n">
        <v>15.09</v>
      </c>
      <c r="D1434" s="7" t="n">
        <f>HYPERLINK("https://www.somogyi.sk/product/digitalny-multimeter-vc-830l-13767","https://www.somogyi.sk/product/digitalny-multimeter-vc-830l-13767")</f>
        <v>0.0</v>
      </c>
      <c r="E1434" s="7" t="n">
        <f>HYPERLINK("https://www.somogyi.sk/data/img/product_main_images/small/13767.jpg","https://www.somogyi.sk/data/img/product_main_images/small/13767.jpg")</f>
        <v>0.0</v>
      </c>
      <c r="F1434" s="2" t="inlineStr">
        <is>
          <t>5999084918194</t>
        </is>
      </c>
      <c r="G1434" s="4" t="inlineStr">
        <is>
          <t xml:space="preserve"> • jednosmerné napätie: 200 mV / 2 V / 20 V / 200 V / 600 V 
 • striedavé napätie: 200 V / 600 V 
 • jednosmerný prúd: 20 µA / 200 µA /  2 mA / 20 mA / 200 mA / 10 A 
 • odpor: 200 Ω / 2 KΩ / 20 kΩ / 200 KΩ  / 2 MΩ 
 • displej: digitálny 
 • počítadlo: 1999 
 • test diódy: áno 
 • test prerušenia obvodu: áno 
 • osvetlenie pozadia: áno 
 • napájanie: 9 V (6F22) 
 • kategória merania: CAT II 600 V 
 • uloženie meranej hodnoty: áno 
 • rozmery: 140 mm x 73 mm x 30 mm 
 • príslušenstvo: merací hrot, batéria</t>
        </is>
      </c>
    </row>
    <row r="1435">
      <c r="A1435" s="3" t="inlineStr">
        <is>
          <t>SMATESTER</t>
        </is>
      </c>
      <c r="B1435" s="2" t="inlineStr">
        <is>
          <t>Tester zásuviek a Fi relé s voltmetrom</t>
        </is>
      </c>
      <c r="C1435" s="1" t="n">
        <v>18.79</v>
      </c>
      <c r="D1435" s="7" t="n">
        <f>HYPERLINK("https://www.somogyi.sk/product/tester-zasuviek-a-fi-rele-s-voltmetrom-smatester-18404","https://www.somogyi.sk/product/tester-zasuviek-a-fi-rele-s-voltmetrom-smatester-18404")</f>
        <v>0.0</v>
      </c>
      <c r="E1435" s="7" t="n">
        <f>HYPERLINK("https://www.somogyi.sk/data/img/product_main_images/small/18404.jpg","https://www.somogyi.sk/data/img/product_main_images/small/18404.jpg")</f>
        <v>0.0</v>
      </c>
      <c r="F1435" s="2" t="inlineStr">
        <is>
          <t>5999084964221</t>
        </is>
      </c>
      <c r="G1435" s="4" t="inlineStr">
        <is>
          <t xml:space="preserve"> • displej: LCD 
 • napájanie: funguje bez batérií (pre max. 250V~ zásuvky) 
 • kategória merania: CAT II 300 V 
 • rozmery: 65 x 68 x 65 mm 
 • hmotnosť: ~75 g 
 • charakteristiky: LED kontrolky</t>
        </is>
      </c>
    </row>
    <row r="1436">
      <c r="A1436" s="3" t="inlineStr">
        <is>
          <t>SMA SMART 2</t>
        </is>
      </c>
      <c r="B1436" s="2" t="inlineStr">
        <is>
          <t>Digitálny multimeter</t>
        </is>
      </c>
      <c r="C1436" s="1" t="n">
        <v>36.89</v>
      </c>
      <c r="D1436" s="7" t="n">
        <f>HYPERLINK("https://www.somogyi.sk/product/digitalny-multimeter-sma-smart-2-18056","https://www.somogyi.sk/product/digitalny-multimeter-sma-smart-2-18056")</f>
        <v>0.0</v>
      </c>
      <c r="E1436" s="7" t="n">
        <f>HYPERLINK("https://www.somogyi.sk/data/img/product_main_images/small/18056.jpg","https://www.somogyi.sk/data/img/product_main_images/small/18056.jpg")</f>
        <v>0.0</v>
      </c>
      <c r="F1436" s="2" t="inlineStr">
        <is>
          <t>5999084960780</t>
        </is>
      </c>
      <c r="G1436" s="4" t="inlineStr">
        <is>
          <t xml:space="preserve"> • jednosmerné napätie: max.600 V 
 • striedavé napätie: max.600 V 
 • jednosmerný prúd: max.600 mA 
 • striedavý prúd: max.600 mA 
 • odpor: max.20 MΩ 
 • frekvencia: 40 - 1000 Hz 
 • displej: digitálny 
 • počítadlo: 1999 
 • test diódy: áno 
 • test prerušenia obvodu: áno 
 • N/A: áno 
 • automatická zmena meracej hranice: áno 
 • napájanie: 2 x CR 2032 
 • kategória merania: CAT III 600 V 
 • uloženie meranej hodnoty: áno 
 • rozmery: 67 x 133 x 18 mm 
 • hmotnosť: 130 g</t>
        </is>
      </c>
    </row>
    <row r="1437">
      <c r="A1437" s="3" t="inlineStr">
        <is>
          <t>SMA 830</t>
        </is>
      </c>
      <c r="B1437" s="2" t="inlineStr">
        <is>
          <t>Digitálny multimeter</t>
        </is>
      </c>
      <c r="C1437" s="1" t="n">
        <v>19.69</v>
      </c>
      <c r="D1437" s="7" t="n">
        <f>HYPERLINK("https://www.somogyi.sk/product/digitalny-multimeter-sma-830-13762","https://www.somogyi.sk/product/digitalny-multimeter-sma-830-13762")</f>
        <v>0.0</v>
      </c>
      <c r="E1437" s="7" t="n">
        <f>HYPERLINK("https://www.somogyi.sk/data/img/product_main_images/small/13762.jpg","https://www.somogyi.sk/data/img/product_main_images/small/13762.jpg")</f>
        <v>0.0</v>
      </c>
      <c r="F1437" s="2" t="inlineStr">
        <is>
          <t>5999084918149</t>
        </is>
      </c>
      <c r="G1437" s="4" t="inlineStr">
        <is>
          <t xml:space="preserve"> • jednosmerné napätie: 200 mV / 2 V / 20 V / 200 V / 600 V 
 • striedavé napätie: 200 V / 600 V 
 • jednosmerný prúd: 20 µA / 200 µA / 2 mA / 20mA / 200 mA / 10 A 
 • odpor: 200 Ω / 2 KΩ / 20 kΩ / 200 KΩ  / 2 MΩ 
 • displej: digitálny 
 • počítadlo: 1999 
 • test diódy: áno 
 • test prerušenia obvodu: áno 
 • napájanie: 9 V (6F22) 
 • kategória merania: CAT II 600 V 
 • uloženie meranej hodnoty: áno 
 • rozmery: 138 mm x 69 mm x 31 mm 
 • príslušenstvo: merací hrot, batéria</t>
        </is>
      </c>
    </row>
    <row r="1438">
      <c r="A1438" s="6" t="inlineStr">
        <is>
          <t xml:space="preserve">   Meranie, nástroje, spájkovanie / Meracie hroty</t>
        </is>
      </c>
      <c r="B1438" s="6" t="inlineStr">
        <is>
          <t/>
        </is>
      </c>
      <c r="C1438" s="6" t="inlineStr">
        <is>
          <t/>
        </is>
      </c>
      <c r="D1438" s="6" t="inlineStr">
        <is>
          <t/>
        </is>
      </c>
      <c r="E1438" s="6" t="inlineStr">
        <is>
          <t/>
        </is>
      </c>
      <c r="F1438" s="6" t="inlineStr">
        <is>
          <t/>
        </is>
      </c>
      <c r="G1438" s="6" t="inlineStr">
        <is>
          <t/>
        </is>
      </c>
    </row>
    <row r="1439">
      <c r="A1439" s="3" t="inlineStr">
        <is>
          <t>MZ SMART</t>
        </is>
      </c>
      <c r="B1439" s="2" t="inlineStr">
        <is>
          <t>Merací hrot k SMA SMART, 10A, 600V CAT II / CAT III, max. 10 A , ~90 cm</t>
        </is>
      </c>
      <c r="C1439" s="1" t="n">
        <v>3.49</v>
      </c>
      <c r="D1439" s="7" t="n">
        <f>HYPERLINK("https://www.somogyi.sk/product/meraci-hrot-k-sma-smart-10a-600v-cat-ii-cat-iii-max-10-a-90-cm-mz-smart-18309","https://www.somogyi.sk/product/meraci-hrot-k-sma-smart-10a-600v-cat-ii-cat-iii-max-10-a-90-cm-mz-smart-18309")</f>
        <v>0.0</v>
      </c>
      <c r="E1439" s="7" t="n">
        <f>HYPERLINK("https://www.somogyi.sk/data/img/product_main_images/small/18309.jpg","https://www.somogyi.sk/data/img/product_main_images/small/18309.jpg")</f>
        <v>0.0</v>
      </c>
      <c r="F1439" s="2" t="inlineStr">
        <is>
          <t>5999084963316</t>
        </is>
      </c>
      <c r="G1439" s="4" t="inlineStr">
        <is>
          <t xml:space="preserve"> • max. prúd: 10 A 
 • kategória merania: 600V CAT II / 600V CAT III 
 • rozmery: ~90 cm dlhý</t>
        </is>
      </c>
    </row>
    <row r="1440">
      <c r="A1440" s="3" t="inlineStr">
        <is>
          <t>MVT 808ACE</t>
        </is>
      </c>
      <c r="B1440" s="2" t="inlineStr">
        <is>
          <t>Dvojpólová AC/DC skúšačka</t>
        </is>
      </c>
      <c r="C1440" s="1" t="n">
        <v>24.39</v>
      </c>
      <c r="D1440" s="7" t="n">
        <f>HYPERLINK("https://www.somogyi.sk/product/dvojpolova-ac-dc-skusacka-mvt-808ace-9382","https://www.somogyi.sk/product/dvojpolova-ac-dc-skusacka-mvt-808ace-9382")</f>
        <v>0.0</v>
      </c>
      <c r="E1440" s="7" t="n">
        <f>HYPERLINK("https://www.somogyi.sk/data/img/product_main_images/small/09382.jpg","https://www.somogyi.sk/data/img/product_main_images/small/09382.jpg")</f>
        <v>0.0</v>
      </c>
      <c r="F1440" s="2" t="inlineStr">
        <is>
          <t>5998312781814</t>
        </is>
      </c>
      <c r="G1440" s="4" t="inlineStr">
        <is>
          <t xml:space="preserve"> • merateľné napätie: 6-400 V AC/DC 
 • signalizácia: LED-kontrolkami 
 • rozmery: prístroj:  220 mm / kábel: 600 mm</t>
        </is>
      </c>
    </row>
    <row r="1441">
      <c r="A1441" s="3" t="inlineStr">
        <is>
          <t>MZ 2M</t>
        </is>
      </c>
      <c r="B1441" s="2" t="inlineStr">
        <is>
          <t>Merací hrot, 10A, 600V CAT III</t>
        </is>
      </c>
      <c r="C1441" s="1" t="n">
        <v>4.29</v>
      </c>
      <c r="D1441" s="7" t="n">
        <f>HYPERLINK("https://www.somogyi.sk/product/meraci-hrot-10a-600v-cat-iii-mz-2m-17030","https://www.somogyi.sk/product/meraci-hrot-10a-600v-cat-iii-mz-2m-17030")</f>
        <v>0.0</v>
      </c>
      <c r="E1441" s="7" t="n">
        <f>HYPERLINK("https://www.somogyi.sk/data/img/product_main_images/small/17030.jpg","https://www.somogyi.sk/data/img/product_main_images/small/17030.jpg")</f>
        <v>0.0</v>
      </c>
      <c r="F1441" s="2" t="inlineStr">
        <is>
          <t>5999084950620</t>
        </is>
      </c>
      <c r="G1441" s="4" t="inlineStr">
        <is>
          <t xml:space="preserve"> • max. prúd: 10 A 
 • kategória merania: 600 V CAT II / 600 V CAT III 
 • rozmery: 90 cm dlhý 22AWG kábel</t>
        </is>
      </c>
    </row>
    <row r="1442">
      <c r="A1442" s="3" t="inlineStr">
        <is>
          <t>MZ 3S</t>
        </is>
      </c>
      <c r="B1442" s="2" t="inlineStr">
        <is>
          <t>Merací hrot, silikónový, 10A, 1000V CAT III</t>
        </is>
      </c>
      <c r="C1442" s="1" t="n">
        <v>6.89</v>
      </c>
      <c r="D1442" s="7" t="n">
        <f>HYPERLINK("https://www.somogyi.sk/product/meraci-hrot-silikonovy-10a-1000v-cat-iii-mz-3s-17031","https://www.somogyi.sk/product/meraci-hrot-silikonovy-10a-1000v-cat-iii-mz-3s-17031")</f>
        <v>0.0</v>
      </c>
      <c r="E1442" s="7" t="n">
        <f>HYPERLINK("https://www.somogyi.sk/data/img/product_main_images/small/17031.jpg","https://www.somogyi.sk/data/img/product_main_images/small/17031.jpg")</f>
        <v>0.0</v>
      </c>
      <c r="F1442" s="2" t="inlineStr">
        <is>
          <t>5999084950637</t>
        </is>
      </c>
      <c r="G1442" s="4" t="inlineStr">
        <is>
          <t xml:space="preserve"> • max. prúd: 10 A 
 • kategória merania: 1000 V CAT II / 1000 V CAT III / 600 V CAT IV 
 • rozmery: 120 cm dlhý 20AWG kábel</t>
        </is>
      </c>
    </row>
    <row r="1443">
      <c r="A1443" s="3" t="inlineStr">
        <is>
          <t>MZ 4</t>
        </is>
      </c>
      <c r="B1443" s="2" t="inlineStr">
        <is>
          <t>Merací hrot, 10A 1000V CAT II, 1000V CAT III, 600V CAT IV, prémium</t>
        </is>
      </c>
      <c r="C1443" s="1" t="n">
        <v>11.09</v>
      </c>
      <c r="D1443" s="7" t="n">
        <f>HYPERLINK("https://www.somogyi.sk/product/meraci-hrot-10a-1000v-cat-ii-1000v-cat-iii-600v-cat-iv-premium-mz-4-16373","https://www.somogyi.sk/product/meraci-hrot-10a-1000v-cat-ii-1000v-cat-iii-600v-cat-iv-premium-mz-4-16373")</f>
        <v>0.0</v>
      </c>
      <c r="E1443" s="7" t="n">
        <f>HYPERLINK("https://www.somogyi.sk/data/img/product_main_images/small/16373.jpg","https://www.somogyi.sk/data/img/product_main_images/small/16373.jpg")</f>
        <v>0.0</v>
      </c>
      <c r="F1443" s="2" t="inlineStr">
        <is>
          <t>5999084944056</t>
        </is>
      </c>
      <c r="G1443" s="4" t="inlineStr">
        <is>
          <t xml:space="preserve"> • max. prúd: 10 A 
 • kategória merania: CAT III 1000 V, CAT IV 600 V 
 • rozmery: 1,35 m 
 • ďalšie informácie: meracie hroty možno pripojiť aj do banánikovej zásuvky</t>
        </is>
      </c>
    </row>
    <row r="1444">
      <c r="A1444" s="6" t="inlineStr">
        <is>
          <t xml:space="preserve">   Meranie, nástroje, spájkovanie / Multifunkčný hľadač, skúšačka fáz</t>
        </is>
      </c>
      <c r="B1444" s="6" t="inlineStr">
        <is>
          <t/>
        </is>
      </c>
      <c r="C1444" s="6" t="inlineStr">
        <is>
          <t/>
        </is>
      </c>
      <c r="D1444" s="6" t="inlineStr">
        <is>
          <t/>
        </is>
      </c>
      <c r="E1444" s="6" t="inlineStr">
        <is>
          <t/>
        </is>
      </c>
      <c r="F1444" s="6" t="inlineStr">
        <is>
          <t/>
        </is>
      </c>
      <c r="G1444" s="6" t="inlineStr">
        <is>
          <t/>
        </is>
      </c>
    </row>
    <row r="1445">
      <c r="A1445" s="3" t="inlineStr">
        <is>
          <t>FC 20</t>
        </is>
      </c>
      <c r="B1445" s="2" t="inlineStr">
        <is>
          <t>Skúšačka fáz, 19 cm</t>
        </is>
      </c>
      <c r="C1445" s="1" t="n">
        <v>2.49</v>
      </c>
      <c r="D1445" s="7" t="n">
        <f>HYPERLINK("https://www.somogyi.sk/product/skusacka-faz-19-cm-fc-20-8677","https://www.somogyi.sk/product/skusacka-faz-19-cm-fc-20-8677")</f>
        <v>0.0</v>
      </c>
      <c r="E1445" s="7" t="n">
        <f>HYPERLINK("https://www.somogyi.sk/data/img/product_main_images/small/08677.jpg","https://www.somogyi.sk/data/img/product_main_images/small/08677.jpg")</f>
        <v>0.0</v>
      </c>
      <c r="F1445" s="2" t="inlineStr">
        <is>
          <t>5998312775691</t>
        </is>
      </c>
      <c r="G1445" s="4" t="inlineStr">
        <is>
          <t xml:space="preserve"> • charakteristika: skúšačka fáz 
 • bezdotykové hľadanie: nie 
 • galvanické hľadanie: áno 
 • zvuková signalizácia: nie 
 • svetelná signalizácia: áno 
 • LED lampa: nie 
 • rozmery: 190 mm</t>
        </is>
      </c>
    </row>
    <row r="1446">
      <c r="A1446" s="3" t="inlineStr">
        <is>
          <t>VD 22</t>
        </is>
      </c>
      <c r="B1446" s="2" t="inlineStr">
        <is>
          <t>Skúšačka napätia</t>
        </is>
      </c>
      <c r="C1446" s="1" t="n">
        <v>5.49</v>
      </c>
      <c r="D1446" s="7" t="n">
        <f>HYPERLINK("https://www.somogyi.sk/product/skusacka-napatia-vd-22-14616","https://www.somogyi.sk/product/skusacka-napatia-vd-22-14616")</f>
        <v>0.0</v>
      </c>
      <c r="E1446" s="7" t="n">
        <f>HYPERLINK("https://www.somogyi.sk/data/img/product_main_images/small/14616.jpg","https://www.somogyi.sk/data/img/product_main_images/small/14616.jpg")</f>
        <v>0.0</v>
      </c>
      <c r="F1446" s="2" t="inlineStr">
        <is>
          <t>5999084926588</t>
        </is>
      </c>
      <c r="G1446" s="4" t="inlineStr">
        <is>
          <t xml:space="preserve"> • charakteristika: vyhľadávanie striedavého napätia 
 • bezdotykové hľadanie: áno 
 • galvanické hľadanie: nie 
 • zvuková signalizácia: áno 
 • svetelná signalizácia: áno 
 • LED lampa: áno 
 • napájanie: 2 x AAA batéria  (nie je príslušenstvo) 
 • rozmery: 150 x 16 x 20 mm</t>
        </is>
      </c>
    </row>
    <row r="1447">
      <c r="A1447" s="3" t="inlineStr">
        <is>
          <t>FC 10</t>
        </is>
      </c>
      <c r="B1447" s="2" t="inlineStr">
        <is>
          <t>Skúšačka fáz, 14 cm</t>
        </is>
      </c>
      <c r="C1447" s="1" t="n">
        <v>1.89</v>
      </c>
      <c r="D1447" s="7" t="n">
        <f>HYPERLINK("https://www.somogyi.sk/product/skusacka-faz-14-cm-fc-10-8676","https://www.somogyi.sk/product/skusacka-faz-14-cm-fc-10-8676")</f>
        <v>0.0</v>
      </c>
      <c r="E1447" s="7" t="n">
        <f>HYPERLINK("https://www.somogyi.sk/data/img/product_main_images/small/08676.jpg","https://www.somogyi.sk/data/img/product_main_images/small/08676.jpg")</f>
        <v>0.0</v>
      </c>
      <c r="F1447" s="2" t="inlineStr">
        <is>
          <t>5998312775684</t>
        </is>
      </c>
      <c r="G1447" s="4" t="inlineStr">
        <is>
          <t xml:space="preserve"> • charakteristika: skúšačka fáz 
 • bezdotykové hľadanie: nie 
 • galvanické hľadanie: áno 
 • zvuková signalizácia: nie 
 • svetelná signalizácia: áno 
 • LED lampa: nie 
 • rozmery: 140 mm</t>
        </is>
      </c>
    </row>
    <row r="1448">
      <c r="A1448" s="3" t="inlineStr">
        <is>
          <t>VD 44</t>
        </is>
      </c>
      <c r="B1448" s="2" t="inlineStr">
        <is>
          <t>Skúšačka napätia, bezdotyková</t>
        </is>
      </c>
      <c r="C1448" s="1" t="n">
        <v>10.69</v>
      </c>
      <c r="D1448" s="7" t="n">
        <f>HYPERLINK("https://www.somogyi.sk/product/skusacka-napatia-bezdotykova-vd-44-18184","https://www.somogyi.sk/product/skusacka-napatia-bezdotykova-vd-44-18184")</f>
        <v>0.0</v>
      </c>
      <c r="E1448" s="7" t="n">
        <f>HYPERLINK("https://www.somogyi.sk/data/img/product_main_images/small/18184.jpg","https://www.somogyi.sk/data/img/product_main_images/small/18184.jpg")</f>
        <v>0.0</v>
      </c>
      <c r="F1448" s="2" t="inlineStr">
        <is>
          <t>5999084962067</t>
        </is>
      </c>
      <c r="G1448" s="4" t="inlineStr">
        <is>
          <t xml:space="preserve"> • bezdotykové hľadanie: áno (~12/48-1000V AC) 
 • zvuková signalizácia: áno 
 • svetelná signalizácia: áno (s červeným svetlom) 
 • LED lampa: áno 
 • ostatné funkcie: funkcia baterky 
 • napájanie: 2 x 1,5 V (AAA) batéria, nie je príslušenstvom 
 • rozmery: 158 x 20 x 20 mm</t>
        </is>
      </c>
    </row>
    <row r="1449">
      <c r="A1449" s="6" t="inlineStr">
        <is>
          <t xml:space="preserve">   Meranie, nástroje, spájkovanie / Zvinovací meter</t>
        </is>
      </c>
      <c r="B1449" s="6" t="inlineStr">
        <is>
          <t/>
        </is>
      </c>
      <c r="C1449" s="6" t="inlineStr">
        <is>
          <t/>
        </is>
      </c>
      <c r="D1449" s="6" t="inlineStr">
        <is>
          <t/>
        </is>
      </c>
      <c r="E1449" s="6" t="inlineStr">
        <is>
          <t/>
        </is>
      </c>
      <c r="F1449" s="6" t="inlineStr">
        <is>
          <t/>
        </is>
      </c>
      <c r="G1449" s="6" t="inlineStr">
        <is>
          <t/>
        </is>
      </c>
    </row>
    <row r="1450">
      <c r="A1450" s="3" t="inlineStr">
        <is>
          <t>MTP 5-25</t>
        </is>
      </c>
      <c r="B1450" s="2" t="inlineStr">
        <is>
          <t>Zvinovací meter, 5m</t>
        </is>
      </c>
      <c r="C1450" s="1" t="n">
        <v>3.49</v>
      </c>
      <c r="D1450" s="7" t="n">
        <f>HYPERLINK("https://www.somogyi.sk/product/zvinovaci-meter-5m-mtp-5-25-5059","https://www.somogyi.sk/product/zvinovaci-meter-5m-mtp-5-25-5059")</f>
        <v>0.0</v>
      </c>
      <c r="E1450" s="7" t="n">
        <f>HYPERLINK("https://www.somogyi.sk/data/img/product_main_images/small/05059.jpg","https://www.somogyi.sk/data/img/product_main_images/small/05059.jpg")</f>
        <v>0.0</v>
      </c>
      <c r="F1450" s="2" t="inlineStr">
        <is>
          <t>5998312744512</t>
        </is>
      </c>
      <c r="G1450" s="4" t="inlineStr">
        <is>
          <t xml:space="preserve"> • funkcia: zvinovací meter 
 • štipec na opasok: áno 
 • úchytný koniec: áno 
 • funkcia blokovania: áno 
 • dĺžka / šírka: 5 m / 19 mm 
 • magnetický podstavec: nie</t>
        </is>
      </c>
    </row>
    <row r="1451">
      <c r="A1451" s="6" t="inlineStr">
        <is>
          <t xml:space="preserve">   Meranie, nástroje, spájkovanie / Banániková prípojka</t>
        </is>
      </c>
      <c r="B1451" s="6" t="inlineStr">
        <is>
          <t/>
        </is>
      </c>
      <c r="C1451" s="6" t="inlineStr">
        <is>
          <t/>
        </is>
      </c>
      <c r="D1451" s="6" t="inlineStr">
        <is>
          <t/>
        </is>
      </c>
      <c r="E1451" s="6" t="inlineStr">
        <is>
          <t/>
        </is>
      </c>
      <c r="F1451" s="6" t="inlineStr">
        <is>
          <t/>
        </is>
      </c>
      <c r="G1451" s="6" t="inlineStr">
        <is>
          <t/>
        </is>
      </c>
    </row>
    <row r="1452">
      <c r="A1452" s="3" t="inlineStr">
        <is>
          <t>BD 5G/BK</t>
        </is>
      </c>
      <c r="B1452" s="2" t="inlineStr">
        <is>
          <t>Banániková vidlica, čierna, pozlátená</t>
        </is>
      </c>
      <c r="C1452" s="1" t="n">
        <v>1.49</v>
      </c>
      <c r="D1452" s="7" t="n">
        <f>HYPERLINK("https://www.somogyi.sk/product/bananikova-vidlica-cierna-pozlatena-bd-5g-bk-4766","https://www.somogyi.sk/product/bananikova-vidlica-cierna-pozlatena-bd-5g-bk-4766")</f>
        <v>0.0</v>
      </c>
      <c r="E1452" s="7" t="n">
        <f>HYPERLINK("https://www.somogyi.sk/data/img/product_main_images/small/04766.jpg","https://www.somogyi.sk/data/img/product_main_images/small/04766.jpg")</f>
        <v>0.0</v>
      </c>
      <c r="F1452" s="2" t="inlineStr">
        <is>
          <t>5998312742099</t>
        </is>
      </c>
      <c r="G1452" s="4" t="inlineStr">
        <is>
          <t xml:space="preserve"> • vidlica: áno 
 • zásuvka: nie 
 • pozlátený: áno 
 • zabudovateľná: áno 
 • voľná: nie 
 • spájkovateľné pripojenie: nie 
 • skrutkovateľná: áno</t>
        </is>
      </c>
    </row>
    <row r="1453">
      <c r="A1453" s="3" t="inlineStr">
        <is>
          <t>BD 4/BK</t>
        </is>
      </c>
      <c r="B1453" s="2" t="inlineStr">
        <is>
          <t>Banániková vidlica, čierna</t>
        </is>
      </c>
      <c r="C1453" s="1" t="n">
        <v>0.79</v>
      </c>
      <c r="D1453" s="7" t="n">
        <f>HYPERLINK("https://www.somogyi.sk/product/bananikova-vidlica-cierna-bd-4-bk-4277","https://www.somogyi.sk/product/bananikova-vidlica-cierna-bd-4-bk-4277")</f>
        <v>0.0</v>
      </c>
      <c r="E1453" s="7" t="n">
        <f>HYPERLINK("https://www.somogyi.sk/data/img/product_main_images/small/04277.jpg","https://www.somogyi.sk/data/img/product_main_images/small/04277.jpg")</f>
        <v>0.0</v>
      </c>
      <c r="F1453" s="2" t="inlineStr">
        <is>
          <t>5998312709023</t>
        </is>
      </c>
      <c r="G1453" s="4" t="inlineStr">
        <is>
          <t xml:space="preserve"> • vidlica: áno 
 • zásuvka: nie 
 • pozlátený: nie 
 • zabudovateľná: áno 
 • voľná: nie 
 • spájkovateľné pripojenie: nie 
 • skrutkovateľná: áno</t>
        </is>
      </c>
    </row>
    <row r="1454">
      <c r="A1454" s="3" t="inlineStr">
        <is>
          <t>BA 2/BK</t>
        </is>
      </c>
      <c r="B1454" s="2" t="inlineStr">
        <is>
          <t>Banániková zásuvka, čierna, spájkovacia</t>
        </is>
      </c>
      <c r="C1454" s="1" t="n">
        <v>0.59</v>
      </c>
      <c r="D1454" s="7" t="n">
        <f>HYPERLINK("https://www.somogyi.sk/product/bananikova-zasuvka-cierna-spajkovacia-ba-2-bk-2074","https://www.somogyi.sk/product/bananikova-zasuvka-cierna-spajkovacia-ba-2-bk-2074")</f>
        <v>0.0</v>
      </c>
      <c r="E1454" s="7" t="n">
        <f>HYPERLINK("https://www.somogyi.sk/data/img/product_main_images/small/02074.jpg","https://www.somogyi.sk/data/img/product_main_images/small/02074.jpg")</f>
        <v>0.0</v>
      </c>
      <c r="F1454" s="2" t="inlineStr">
        <is>
          <t>5998312723074</t>
        </is>
      </c>
      <c r="G1454" s="4" t="inlineStr">
        <is>
          <t xml:space="preserve"> • vidlica: nie 
 • zásuvka: áno 
 • pozlátený: nie 
 • zabudovateľná: nie 
 • voľná: áno 
 • spájkovateľné pripojenie: áno 
 • montážne rozmery: Ø7,8 mm</t>
        </is>
      </c>
    </row>
    <row r="1455">
      <c r="A1455" s="3" t="inlineStr">
        <is>
          <t>BD 5G/RD</t>
        </is>
      </c>
      <c r="B1455" s="2" t="inlineStr">
        <is>
          <t>Banániková vidlica, červená, pozlátená</t>
        </is>
      </c>
      <c r="C1455" s="1" t="n">
        <v>1.49</v>
      </c>
      <c r="D1455" s="7" t="n">
        <f>HYPERLINK("https://www.somogyi.sk/product/bananikova-vidlica-cervena-pozlatena-bd-5g-rd-4767","https://www.somogyi.sk/product/bananikova-vidlica-cervena-pozlatena-bd-5g-rd-4767")</f>
        <v>0.0</v>
      </c>
      <c r="E1455" s="7" t="n">
        <f>HYPERLINK("https://www.somogyi.sk/data/img/product_main_images/small/04767.jpg","https://www.somogyi.sk/data/img/product_main_images/small/04767.jpg")</f>
        <v>0.0</v>
      </c>
      <c r="F1455" s="2" t="inlineStr">
        <is>
          <t>5998312742105</t>
        </is>
      </c>
      <c r="G1455" s="4" t="inlineStr">
        <is>
          <t xml:space="preserve"> • vidlica: áno 
 • zásuvka: nie 
 • pozlátený: áno 
 • zabudovateľná: áno 
 • voľná: nie 
 • spájkovateľné pripojenie: nie 
 • skrutkovateľná: áno</t>
        </is>
      </c>
    </row>
    <row r="1456">
      <c r="A1456" s="3" t="inlineStr">
        <is>
          <t>BD 4/RD</t>
        </is>
      </c>
      <c r="B1456" s="2" t="inlineStr">
        <is>
          <t>Banániková vidlica, červená</t>
        </is>
      </c>
      <c r="C1456" s="1" t="n">
        <v>0.79</v>
      </c>
      <c r="D1456" s="7" t="n">
        <f>HYPERLINK("https://www.somogyi.sk/product/bananikova-vidlica-cervena-bd-4-rd-4278","https://www.somogyi.sk/product/bananikova-vidlica-cervena-bd-4-rd-4278")</f>
        <v>0.0</v>
      </c>
      <c r="E1456" s="7" t="n">
        <f>HYPERLINK("https://www.somogyi.sk/data/img/product_main_images/small/04278.jpg","https://www.somogyi.sk/data/img/product_main_images/small/04278.jpg")</f>
        <v>0.0</v>
      </c>
      <c r="F1456" s="2" t="inlineStr">
        <is>
          <t>5998312709030</t>
        </is>
      </c>
      <c r="G1456" s="4" t="inlineStr">
        <is>
          <t xml:space="preserve"> • vidlica: áno 
 • zásuvka: nie 
 • pozlátený: nie 
 • zabudovateľná: áno 
 • voľná: nie 
 • spájkovateľné pripojenie: nie 
 • skrutkovateľná: áno</t>
        </is>
      </c>
    </row>
    <row r="1457">
      <c r="A1457" s="3" t="inlineStr">
        <is>
          <t>BA 2/RD</t>
        </is>
      </c>
      <c r="B1457" s="2" t="inlineStr">
        <is>
          <t>Banániková zásuvka, červená, spájkovacia</t>
        </is>
      </c>
      <c r="C1457" s="1" t="n">
        <v>0.59</v>
      </c>
      <c r="D1457" s="7" t="n">
        <f>HYPERLINK("https://www.somogyi.sk/product/bananikova-zasuvka-cervena-spajkovacia-ba-2-rd-2073","https://www.somogyi.sk/product/bananikova-zasuvka-cervena-spajkovacia-ba-2-rd-2073")</f>
        <v>0.0</v>
      </c>
      <c r="E1457" s="7" t="n">
        <f>HYPERLINK("https://www.somogyi.sk/data/img/product_main_images/small/02073.jpg","https://www.somogyi.sk/data/img/product_main_images/small/02073.jpg")</f>
        <v>0.0</v>
      </c>
      <c r="F1457" s="2" t="inlineStr">
        <is>
          <t>5998312723067</t>
        </is>
      </c>
      <c r="G1457" s="4" t="inlineStr">
        <is>
          <t xml:space="preserve"> • vidlica: nie 
 • zásuvka: áno 
 • pozlátený: nie 
 • zabudovateľná: nie 
 • voľná: áno 
 • spájkovateľné pripojenie: áno 
 • montážne rozmery: Ø7,8 mm</t>
        </is>
      </c>
    </row>
    <row r="1458">
      <c r="A1458" s="6" t="inlineStr">
        <is>
          <t xml:space="preserve">   Meranie, nástroje, spájkovanie / Elektrická spájkovacia stanica, príslušenstvo</t>
        </is>
      </c>
      <c r="B1458" s="6" t="inlineStr">
        <is>
          <t/>
        </is>
      </c>
      <c r="C1458" s="6" t="inlineStr">
        <is>
          <t/>
        </is>
      </c>
      <c r="D1458" s="6" t="inlineStr">
        <is>
          <t/>
        </is>
      </c>
      <c r="E1458" s="6" t="inlineStr">
        <is>
          <t/>
        </is>
      </c>
      <c r="F1458" s="6" t="inlineStr">
        <is>
          <t/>
        </is>
      </c>
      <c r="G1458" s="6" t="inlineStr">
        <is>
          <t/>
        </is>
      </c>
    </row>
    <row r="1459">
      <c r="A1459" s="3" t="inlineStr">
        <is>
          <t>SMA 5051T</t>
        </is>
      </c>
      <c r="B1459" s="2" t="inlineStr">
        <is>
          <t>Náhradná spájkovačka k SMA 050, 051</t>
        </is>
      </c>
      <c r="C1459" s="1" t="n">
        <v>14.09</v>
      </c>
      <c r="D1459" s="7" t="n">
        <f>HYPERLINK("https://www.somogyi.sk/product/nahradna-spajkovacka-k-sma-050-051-sma-5051t-9770","https://www.somogyi.sk/product/nahradna-spajkovacka-k-sma-050-051-sma-5051t-9770")</f>
        <v>0.0</v>
      </c>
      <c r="E1459" s="7" t="n">
        <f>HYPERLINK("https://www.somogyi.sk/data/img/product_main_images/small/09770.jpg","https://www.somogyi.sk/data/img/product_main_images/small/09770.jpg")</f>
        <v>0.0</v>
      </c>
      <c r="F1459" s="2" t="inlineStr">
        <is>
          <t>5998312784990</t>
        </is>
      </c>
      <c r="G1459" s="4" t="inlineStr">
        <is>
          <t xml:space="preserve"> • výkon: 48 W 
 • teplovzdorný silikónový kábel: áno 
 • dĺžka kábla: 1 m 
 • ďalšie informácie: silikónová guma na rukoväti 
 • kompatibilita: spájkovacia stanica SMA 51 / SMA 50</t>
        </is>
      </c>
    </row>
    <row r="1460">
      <c r="A1460" s="3" t="inlineStr">
        <is>
          <t>SMA 058</t>
        </is>
      </c>
      <c r="B1460" s="2" t="inlineStr">
        <is>
          <t>Spájkovací hrot</t>
        </is>
      </c>
      <c r="C1460" s="1" t="n">
        <v>2.19</v>
      </c>
      <c r="D1460" s="7" t="n">
        <f>HYPERLINK("https://www.somogyi.sk/product/spajkovaci-hrot-sma-058-6827","https://www.somogyi.sk/product/spajkovaci-hrot-sma-058-6827")</f>
        <v>0.0</v>
      </c>
      <c r="E1460" s="7" t="n">
        <f>HYPERLINK("https://www.somogyi.sk/data/img/product_main_images/small/06827.jpg","https://www.somogyi.sk/data/img/product_main_images/small/06827.jpg")</f>
        <v>0.0</v>
      </c>
      <c r="F1460" s="2" t="inlineStr">
        <is>
          <t>5998312758458</t>
        </is>
      </c>
      <c r="G1460" s="4" t="inlineStr">
        <is>
          <t xml:space="preserve"> • kompatibilita: spájkovacia stanica SMA 51 / SMA 50 
 • rozmery: 1,2 mm /plochý hrot</t>
        </is>
      </c>
    </row>
    <row r="1461">
      <c r="A1461" s="3" t="inlineStr">
        <is>
          <t>SMA 051</t>
        </is>
      </c>
      <c r="B1461" s="2" t="inlineStr">
        <is>
          <t>Spájkovacia stanica</t>
        </is>
      </c>
      <c r="C1461" s="1" t="n">
        <v>100.9</v>
      </c>
      <c r="D1461" s="7" t="n">
        <f>HYPERLINK("https://www.somogyi.sk/product/spajkovacia-stanica-sma-051-6709","https://www.somogyi.sk/product/spajkovacia-stanica-sma-051-6709")</f>
        <v>0.0</v>
      </c>
      <c r="E1461" s="7" t="n">
        <f>HYPERLINK("https://www.somogyi.sk/data/img/product_main_images/small/06709.jpg","https://www.somogyi.sk/data/img/product_main_images/small/06709.jpg")</f>
        <v>0.0</v>
      </c>
      <c r="F1461" s="2" t="inlineStr">
        <is>
          <t>5998312757451</t>
        </is>
      </c>
      <c r="G1461" s="4" t="inlineStr">
        <is>
          <t xml:space="preserve"> • 230 V∼/48 W 
 • rýchle ohrievanie 
 • nastaviteľná a kontrolovateľná teplota (150 - 420 °C) 
 • trojciferný červený LED displej 
 • tepluodolný silikónový kábel 
 • silikónová guma na rukoväti 
 • náhradná spájkovačka: SMA 5051T 
 • bez nástroja vymeniteľný hrot 
 • čistiaca špongia s táckou 
 • nastaviteľný držiak na spájku</t>
        </is>
      </c>
    </row>
    <row r="1462">
      <c r="A1462" s="3" t="inlineStr">
        <is>
          <t>SMA 057</t>
        </is>
      </c>
      <c r="B1462" s="2" t="inlineStr">
        <is>
          <t>Spájkovací hrot</t>
        </is>
      </c>
      <c r="C1462" s="1" t="n">
        <v>2.19</v>
      </c>
      <c r="D1462" s="7" t="n">
        <f>HYPERLINK("https://www.somogyi.sk/product/spajkovaci-hrot-sma-057-6826","https://www.somogyi.sk/product/spajkovaci-hrot-sma-057-6826")</f>
        <v>0.0</v>
      </c>
      <c r="E1462" s="7" t="n">
        <f>HYPERLINK("https://www.somogyi.sk/data/img/product_main_images/small/06826.jpg","https://www.somogyi.sk/data/img/product_main_images/small/06826.jpg")</f>
        <v>0.0</v>
      </c>
      <c r="F1462" s="2" t="inlineStr">
        <is>
          <t>5998312758441</t>
        </is>
      </c>
      <c r="G1462" s="4" t="inlineStr">
        <is>
          <t xml:space="preserve"> • kompatibilita: spájkovacia stanica SMA 51 / SMA 50 
 • rozmery: 3,2 mm /plochý hrot</t>
        </is>
      </c>
    </row>
    <row r="1463">
      <c r="A1463" s="3" t="inlineStr">
        <is>
          <t>5SI-216N-1.6D</t>
        </is>
      </c>
      <c r="B1463" s="2" t="inlineStr">
        <is>
          <t>Spájkovací hrot pre SS-306B, plochý, 1,6 mm</t>
        </is>
      </c>
      <c r="C1463" s="1" t="n">
        <v>6.59</v>
      </c>
      <c r="D1463" s="7" t="n">
        <f>HYPERLINK("https://www.somogyi.sk/product/spajkovaci-hrot-pre-ss-306b-plochy-1-6-mm-5si-216n-1-6d-18565","https://www.somogyi.sk/product/spajkovaci-hrot-pre-ss-306b-plochy-1-6-mm-5si-216n-1-6d-18565")</f>
        <v>0.0</v>
      </c>
      <c r="E1463" s="7" t="n">
        <f>HYPERLINK("https://www.somogyi.sk/data/img/product_main_images/small/18565.jpg","https://www.somogyi.sk/data/img/product_main_images/small/18565.jpg")</f>
        <v>0.0</v>
      </c>
      <c r="F1463" s="2" t="inlineStr">
        <is>
          <t>5999084965839</t>
        </is>
      </c>
      <c r="G1463" s="4" t="inlineStr">
        <is>
          <t xml:space="preserve"> • charakteristiky: 1,6 mm ploché prevedenie, materiál OFC meď s 3x ochranným náterom</t>
        </is>
      </c>
    </row>
    <row r="1464">
      <c r="A1464" s="3" t="inlineStr">
        <is>
          <t>5SI-216N-B1.0</t>
        </is>
      </c>
      <c r="B1464" s="2" t="inlineStr">
        <is>
          <t>Spájkovací hrot pre SS-306B, bodový, 1 mm</t>
        </is>
      </c>
      <c r="C1464" s="1" t="n">
        <v>6.59</v>
      </c>
      <c r="D1464" s="7" t="n">
        <f>HYPERLINK("https://www.somogyi.sk/product/spajkovaci-hrot-pre-ss-306b-bodovy-1-mm-5si-216n-b1-0-18563","https://www.somogyi.sk/product/spajkovaci-hrot-pre-ss-306b-bodovy-1-mm-5si-216n-b1-0-18563")</f>
        <v>0.0</v>
      </c>
      <c r="E1464" s="7" t="n">
        <f>HYPERLINK("https://www.somogyi.sk/data/img/product_main_images/small/18563.jpg","https://www.somogyi.sk/data/img/product_main_images/small/18563.jpg")</f>
        <v>0.0</v>
      </c>
      <c r="F1464" s="2" t="inlineStr">
        <is>
          <t>5999084965815</t>
        </is>
      </c>
      <c r="G1464" s="4" t="inlineStr">
        <is>
          <t xml:space="preserve"> • charakteristiky: 1 mm bodové prevedenie, materiál: OFC meď s 3x ochranným náterom</t>
        </is>
      </c>
    </row>
    <row r="1465">
      <c r="A1465" s="3" t="inlineStr">
        <is>
          <t>SS-306B</t>
        </is>
      </c>
      <c r="B1465" s="2" t="inlineStr">
        <is>
          <t>Spájkovacia stanica, 75 W</t>
        </is>
      </c>
      <c r="C1465" s="1" t="n">
        <v>81.59</v>
      </c>
      <c r="D1465" s="7" t="n">
        <f>HYPERLINK("https://www.somogyi.sk/product/spajkovacia-stanica-75-w-ss-306b-18562","https://www.somogyi.sk/product/spajkovacia-stanica-75-w-ss-306b-18562")</f>
        <v>0.0</v>
      </c>
      <c r="E1465" s="7" t="n">
        <f>HYPERLINK("https://www.somogyi.sk/data/img/product_main_images/small/18562.jpg","https://www.somogyi.sk/data/img/product_main_images/small/18562.jpg")</f>
        <v>0.0</v>
      </c>
      <c r="F1465" s="2" t="inlineStr">
        <is>
          <t>5999084965808</t>
        </is>
      </c>
      <c r="G1465" s="4" t="inlineStr">
        <is>
          <t xml:space="preserve"> • výkon: 75 W 
 • regulovateľná teplota: ~200 - 480 °C 
 • príslušenstvo: ESD pripojovací kábel 
 • napájanie: 230 V~ / 50 Hz 
 • rozmery: 11,5 x 14 x 9 cm (dĺžka spájkovačky: 22 cm) 
 • hmotnosť: 3,9 kg</t>
        </is>
      </c>
    </row>
    <row r="1466">
      <c r="A1466" s="3" t="inlineStr">
        <is>
          <t>SMA 056</t>
        </is>
      </c>
      <c r="B1466" s="2" t="inlineStr">
        <is>
          <t>Spájkovací hrot</t>
        </is>
      </c>
      <c r="C1466" s="1" t="n">
        <v>2.19</v>
      </c>
      <c r="D1466" s="7" t="n">
        <f>HYPERLINK("https://www.somogyi.sk/product/spajkovaci-hrot-sma-056-6825","https://www.somogyi.sk/product/spajkovaci-hrot-sma-056-6825")</f>
        <v>0.0</v>
      </c>
      <c r="E1466" s="7" t="n">
        <f>HYPERLINK("https://www.somogyi.sk/data/img/product_main_images/small/06825.jpg","https://www.somogyi.sk/data/img/product_main_images/small/06825.jpg")</f>
        <v>0.0</v>
      </c>
      <c r="F1466" s="2" t="inlineStr">
        <is>
          <t>5998312758434</t>
        </is>
      </c>
      <c r="G1466" s="4" t="inlineStr">
        <is>
          <t xml:space="preserve"> • kompatibilita: spájkovacia  stanica SMA 51 / SMA 50 
 • rozmery: 0,4 mm / špicatý hrot</t>
        </is>
      </c>
    </row>
    <row r="1467">
      <c r="A1467" s="3" t="inlineStr">
        <is>
          <t>SMA 059</t>
        </is>
      </c>
      <c r="B1467" s="2" t="inlineStr">
        <is>
          <t>Spájkovací hrot</t>
        </is>
      </c>
      <c r="C1467" s="1" t="n">
        <v>2.19</v>
      </c>
      <c r="D1467" s="7" t="n">
        <f>HYPERLINK("https://www.somogyi.sk/product/spajkovaci-hrot-sma-059-6828","https://www.somogyi.sk/product/spajkovaci-hrot-sma-059-6828")</f>
        <v>0.0</v>
      </c>
      <c r="E1467" s="7" t="n">
        <f>HYPERLINK("https://www.somogyi.sk/data/img/product_main_images/small/06828.jpg","https://www.somogyi.sk/data/img/product_main_images/small/06828.jpg")</f>
        <v>0.0</v>
      </c>
      <c r="F1467" s="2" t="inlineStr">
        <is>
          <t>5998312758465</t>
        </is>
      </c>
      <c r="G1467" s="4" t="inlineStr">
        <is>
          <t xml:space="preserve"> • kompatibilita: spájkovacia stanica SMA 51 / SMA 50 
 • rozmery: 1,2 mm / špicatý hrot</t>
        </is>
      </c>
    </row>
    <row r="1468">
      <c r="A1468" s="6" t="inlineStr">
        <is>
          <t xml:space="preserve">   Meranie, nástroje, spájkovanie / Elektrická spájkovačka, plynová spájkovačka, spájkovacia pištoľ</t>
        </is>
      </c>
      <c r="B1468" s="6" t="inlineStr">
        <is>
          <t/>
        </is>
      </c>
      <c r="C1468" s="6" t="inlineStr">
        <is>
          <t/>
        </is>
      </c>
      <c r="D1468" s="6" t="inlineStr">
        <is>
          <t/>
        </is>
      </c>
      <c r="E1468" s="6" t="inlineStr">
        <is>
          <t/>
        </is>
      </c>
      <c r="F1468" s="6" t="inlineStr">
        <is>
          <t/>
        </is>
      </c>
      <c r="G1468" s="6" t="inlineStr">
        <is>
          <t/>
        </is>
      </c>
    </row>
    <row r="1469">
      <c r="A1469" s="3" t="inlineStr">
        <is>
          <t>FP 60W</t>
        </is>
      </c>
      <c r="B1469" s="2" t="inlineStr">
        <is>
          <t>Spájkovačka, 60W, 230V</t>
        </is>
      </c>
      <c r="C1469" s="1" t="n">
        <v>12.79</v>
      </c>
      <c r="D1469" s="7" t="n">
        <f>HYPERLINK("https://www.somogyi.sk/product/spajkovacka-60w-230v-fp-60w-3275","https://www.somogyi.sk/product/spajkovacka-60w-230v-fp-60w-3275")</f>
        <v>0.0</v>
      </c>
      <c r="E1469" s="7" t="n">
        <f>HYPERLINK("https://www.somogyi.sk/data/img/product_main_images/small/03275.jpg","https://www.somogyi.sk/data/img/product_main_images/small/03275.jpg")</f>
        <v>0.0</v>
      </c>
      <c r="F1469" s="2" t="inlineStr">
        <is>
          <t>5998312735992</t>
        </is>
      </c>
      <c r="G1469" s="4" t="inlineStr">
        <is>
          <t xml:space="preserve"> • výkon: 60 W 
 • regulovateľná teplota: nie 
 • zabudované osvetlenie: nie 
 • dĺžka kábla: 1,4 m 
 • kompatibilita: hrot k spájkovačke: FPH6 
 • príslušenstvo: podpera 
 • napájanie: 230 V~  / 50 Hz 
 • rozmery: 270 mm</t>
        </is>
      </c>
    </row>
    <row r="1470">
      <c r="A1470" s="3" t="inlineStr">
        <is>
          <t>PP 75</t>
        </is>
      </c>
      <c r="B1470" s="2" t="inlineStr">
        <is>
          <t>Spájkovacia pištoľ 75W 230V</t>
        </is>
      </c>
      <c r="C1470" s="1" t="n">
        <v>62.99</v>
      </c>
      <c r="D1470" s="7" t="n">
        <f>HYPERLINK("https://www.somogyi.sk/product/spajkovacia-pistol-75w-230v-pp-75-16212","https://www.somogyi.sk/product/spajkovacia-pistol-75w-230v-pp-75-16212")</f>
        <v>0.0</v>
      </c>
      <c r="E1470" s="7" t="n">
        <f>HYPERLINK("https://www.somogyi.sk/data/img/product_main_images/small/16212.jpg","https://www.somogyi.sk/data/img/product_main_images/small/16212.jpg")</f>
        <v>0.0</v>
      </c>
      <c r="F1470" s="2" t="inlineStr">
        <is>
          <t>5999084942441</t>
        </is>
      </c>
      <c r="G1470" s="4" t="inlineStr">
        <is>
          <t xml:space="preserve"> • výkon: 75 W 
 • regulovateľná teplota: nie 
 • zabudované osvetlenie: áno 
 • dĺžka kábla: 1,8 m 
 • príslušenstvo: 5 1 spájkovací hrot, 16 g kolofónia, 10 g cín 
 • napájanie: 230 V~ / 50 Hz</t>
        </is>
      </c>
    </row>
    <row r="1471">
      <c r="A1471" s="3" t="inlineStr">
        <is>
          <t>SG109-150T</t>
        </is>
      </c>
      <c r="B1471" s="2" t="inlineStr">
        <is>
          <t>Náhradný hrot 150 W pre SG109-150</t>
        </is>
      </c>
      <c r="C1471" s="1" t="n">
        <v>2.99</v>
      </c>
      <c r="D1471" s="7" t="n">
        <f>HYPERLINK("https://www.somogyi.sk/product/nahradny-hrot-150-w-pre-sg109-150-sg109-150t-18517","https://www.somogyi.sk/product/nahradny-hrot-150-w-pre-sg109-150-sg109-150t-18517")</f>
        <v>0.0</v>
      </c>
      <c r="E1471" s="7" t="n">
        <f>HYPERLINK("https://www.somogyi.sk/data/img/product_main_images/small/18517.jpg","https://www.somogyi.sk/data/img/product_main_images/small/18517.jpg")</f>
        <v>0.0</v>
      </c>
      <c r="F1471" s="2" t="inlineStr">
        <is>
          <t>5999084965358</t>
        </is>
      </c>
      <c r="G1471" s="4" t="inlineStr">
        <is>
          <t xml:space="preserve"> • teplota: 600-650C° max. teplota</t>
        </is>
      </c>
    </row>
    <row r="1472">
      <c r="A1472" s="3" t="inlineStr">
        <is>
          <t>FPL 80T</t>
        </is>
      </c>
      <c r="B1472" s="2" t="inlineStr">
        <is>
          <t>Sada spájkovacích hrotov, 5 ks, k FPL 80W</t>
        </is>
      </c>
      <c r="C1472" s="1" t="n">
        <v>6.29</v>
      </c>
      <c r="D1472" s="7" t="n">
        <f>HYPERLINK("https://www.somogyi.sk/product/sada-spajkovacich-hrotov-5-ks-k-fpl-80w-fpl-80t-17944","https://www.somogyi.sk/product/sada-spajkovacich-hrotov-5-ks-k-fpl-80w-fpl-80t-17944")</f>
        <v>0.0</v>
      </c>
      <c r="E1472" s="7" t="n">
        <f>HYPERLINK("https://www.somogyi.sk/data/img/product_main_images/small/17944.jpg","https://www.somogyi.sk/data/img/product_main_images/small/17944.jpg")</f>
        <v>0.0</v>
      </c>
      <c r="F1472" s="2" t="inlineStr">
        <is>
          <t>5999084959661</t>
        </is>
      </c>
      <c r="G1472" s="4" t="inlineStr">
        <is>
          <t xml:space="preserve"> • kompatibilita: FPL 80T 
 • rozmery: 5x ~∅0,6 x 41 mm</t>
        </is>
      </c>
    </row>
    <row r="1473">
      <c r="A1473" s="3" t="inlineStr">
        <is>
          <t>PP 2</t>
        </is>
      </c>
      <c r="B1473" s="2" t="inlineStr">
        <is>
          <t>Spájkovacia pištoľ 75 W</t>
        </is>
      </c>
      <c r="C1473" s="1" t="n">
        <v>51.09</v>
      </c>
      <c r="D1473" s="7" t="n">
        <f>HYPERLINK("https://www.somogyi.sk/product/spajkovacia-pistol-75-w-pp-2-2868","https://www.somogyi.sk/product/spajkovacia-pistol-75-w-pp-2-2868")</f>
        <v>0.0</v>
      </c>
      <c r="E1473" s="7" t="n">
        <f>HYPERLINK("https://www.somogyi.sk/data/img/product_main_images/small/02868.jpg","https://www.somogyi.sk/data/img/product_main_images/small/02868.jpg")</f>
        <v>0.0</v>
      </c>
      <c r="F1473" s="2" t="inlineStr">
        <is>
          <t>5998312731925</t>
        </is>
      </c>
      <c r="G1473" s="4" t="inlineStr">
        <is>
          <t xml:space="preserve"> • výkon: 75 W 
 • zabudované osvetlenie: LED 
 • dĺžka kábla: cca. 1,8 m 
 • príslušenstvo: 1   5 ks spájkovacích hrotov 
 • napájanie: 230 V~ / 50 Hz 
 • balenie: 1 ks</t>
        </is>
      </c>
    </row>
    <row r="1474">
      <c r="A1474" s="3" t="inlineStr">
        <is>
          <t>FP 30W</t>
        </is>
      </c>
      <c r="B1474" s="2" t="inlineStr">
        <is>
          <t>Spájkovačka, 30W, 230V</t>
        </is>
      </c>
      <c r="C1474" s="1" t="n">
        <v>11.49</v>
      </c>
      <c r="D1474" s="7" t="n">
        <f>HYPERLINK("https://www.somogyi.sk/product/spajkovacka-30w-230v-fp-30w-3274","https://www.somogyi.sk/product/spajkovacka-30w-230v-fp-30w-3274")</f>
        <v>0.0</v>
      </c>
      <c r="E1474" s="7" t="n">
        <f>HYPERLINK("https://www.somogyi.sk/data/img/product_main_images/small/03274.jpg","https://www.somogyi.sk/data/img/product_main_images/small/03274.jpg")</f>
        <v>0.0</v>
      </c>
      <c r="F1474" s="2" t="inlineStr">
        <is>
          <t>5998312735985</t>
        </is>
      </c>
      <c r="G1474" s="4" t="inlineStr">
        <is>
          <t xml:space="preserve"> • výkon: 30 W 
 • regulovateľná teplota: nie 
 • zabudované osvetlenie: nie 
 • dĺžka kábla: 1,4 m 
 • kompatibilita: hrot k spájkovačke: FPH4 
 • príslušenstvo: podpera 
 • napájanie: 230 V~  / 50 Hz 
 • rozmery: 240 mm</t>
        </is>
      </c>
    </row>
    <row r="1475">
      <c r="A1475" s="3" t="inlineStr">
        <is>
          <t>PP 75T</t>
        </is>
      </c>
      <c r="B1475" s="2" t="inlineStr">
        <is>
          <t>Spájkovací hrot k PP 75, meď s niklovým náterom</t>
        </is>
      </c>
      <c r="C1475" s="1" t="n">
        <v>3.49</v>
      </c>
      <c r="D1475" s="7" t="n">
        <f>HYPERLINK("https://www.somogyi.sk/product/spajkovaci-hrot-k-pp-75-med-s-niklovym-naterom-pp-75t-16317","https://www.somogyi.sk/product/spajkovaci-hrot-k-pp-75-med-s-niklovym-naterom-pp-75t-16317")</f>
        <v>0.0</v>
      </c>
      <c r="E1475" s="7" t="n">
        <f>HYPERLINK("https://www.somogyi.sk/data/img/product_main_images/small/16317.jpg","https://www.somogyi.sk/data/img/product_main_images/small/16317.jpg")</f>
        <v>0.0</v>
      </c>
      <c r="F1475" s="2" t="inlineStr">
        <is>
          <t>5999084943493</t>
        </is>
      </c>
      <c r="G1475" s="4" t="inlineStr">
        <is>
          <t xml:space="preserve"> • kompatibilita: k PP 75 
 • rozmery: 40 mm / 1,5 mm² meď s niklovým náterom 
 • balenie: 10 ks / balenie</t>
        </is>
      </c>
    </row>
    <row r="1476">
      <c r="A1476" s="3" t="inlineStr">
        <is>
          <t>8PK-101-2</t>
        </is>
      </c>
      <c r="B1476" s="2" t="inlineStr">
        <is>
          <t>Plynová spájkovačka</t>
        </is>
      </c>
      <c r="C1476" s="1" t="n">
        <v>26.59</v>
      </c>
      <c r="D1476" s="7" t="n">
        <f>HYPERLINK("https://www.somogyi.sk/product/plynova-spajkovacka-8pk-101-2-4466","https://www.somogyi.sk/product/plynova-spajkovacka-8pk-101-2-4466")</f>
        <v>0.0</v>
      </c>
      <c r="E1476" s="7" t="n">
        <f>HYPERLINK("https://www.somogyi.sk/data/img/product_main_images/small/04466.jpg","https://www.somogyi.sk/data/img/product_main_images/small/04466.jpg")</f>
        <v>0.0</v>
      </c>
      <c r="F1476" s="2" t="inlineStr">
        <is>
          <t>5998312739280</t>
        </is>
      </c>
      <c r="G1476" s="4" t="inlineStr">
        <is>
          <t xml:space="preserve"> • regulovateľná teplota: áno 
 • zabudované osvetlenie: nie 
 • kompatibilita: hrot k spájkovačke: 5PK-101-2T 
 • príslušenstvo: plynová spájkovačka, hrot, hlavica k spájkovačke 
 • napájanie: plyn do zapaľovača (nie je naplnená) 
 • rozmery: 130 mm</t>
        </is>
      </c>
    </row>
    <row r="1477">
      <c r="A1477" s="3" t="inlineStr">
        <is>
          <t>FPH 7</t>
        </is>
      </c>
      <c r="B1477" s="2" t="inlineStr">
        <is>
          <t>Rovný hrot k spájkovačke, 7 mm</t>
        </is>
      </c>
      <c r="C1477" s="1" t="n">
        <v>2.69</v>
      </c>
      <c r="D1477" s="7" t="n">
        <f>HYPERLINK("https://www.somogyi.sk/product/rovny-hrot-k-spajkovacke-7-mm-fph-7-2606","https://www.somogyi.sk/product/rovny-hrot-k-spajkovacke-7-mm-fph-7-2606")</f>
        <v>0.0</v>
      </c>
      <c r="E1477" s="7" t="n">
        <f>HYPERLINK("https://www.somogyi.sk/data/img/product_main_images/small/02606.jpg","https://www.somogyi.sk/data/img/product_main_images/small/02606.jpg")</f>
        <v>0.0</v>
      </c>
      <c r="F1477" s="2" t="inlineStr">
        <is>
          <t>5998312729212</t>
        </is>
      </c>
      <c r="G1477" s="4" t="inlineStr">
        <is>
          <t xml:space="preserve"> • kompatibilita: k spájkovačke FP 80/VDE 
 • rozmery: Ø 7 mm</t>
        </is>
      </c>
    </row>
    <row r="1478">
      <c r="A1478" s="3" t="inlineStr">
        <is>
          <t>FPH 6</t>
        </is>
      </c>
      <c r="B1478" s="2" t="inlineStr">
        <is>
          <t>Rovný hrot k spájkovačke, 6 mm</t>
        </is>
      </c>
      <c r="C1478" s="1" t="n">
        <v>1.99</v>
      </c>
      <c r="D1478" s="7" t="n">
        <f>HYPERLINK("https://www.somogyi.sk/product/rovny-hrot-k-spajkovacke-6-mm-fph-6-2586","https://www.somogyi.sk/product/rovny-hrot-k-spajkovacke-6-mm-fph-6-2586")</f>
        <v>0.0</v>
      </c>
      <c r="E1478" s="7" t="n">
        <f>HYPERLINK("https://www.somogyi.sk/data/img/product_main_images/small/02586.jpg","https://www.somogyi.sk/data/img/product_main_images/small/02586.jpg")</f>
        <v>0.0</v>
      </c>
      <c r="F1478" s="2" t="inlineStr">
        <is>
          <t>5998312729007</t>
        </is>
      </c>
      <c r="G1478" s="4" t="inlineStr">
        <is>
          <t xml:space="preserve"> • kompatibilita: k spájkovačke FP 60/VDE 
 • rozmery: Ø 6 mm</t>
        </is>
      </c>
    </row>
    <row r="1479">
      <c r="A1479" s="3" t="inlineStr">
        <is>
          <t>FP 80W</t>
        </is>
      </c>
      <c r="B1479" s="2" t="inlineStr">
        <is>
          <t>Spájkovačka, 80 W, 230 V</t>
        </is>
      </c>
      <c r="C1479" s="1" t="n">
        <v>14.69</v>
      </c>
      <c r="D1479" s="7" t="n">
        <f>HYPERLINK("https://www.somogyi.sk/product/spajkovacka-80-w-230-v-fp-80w-3276","https://www.somogyi.sk/product/spajkovacka-80-w-230-v-fp-80w-3276")</f>
        <v>0.0</v>
      </c>
      <c r="E1479" s="7" t="n">
        <f>HYPERLINK("https://www.somogyi.sk/data/img/product_main_images/small/03276.jpg","https://www.somogyi.sk/data/img/product_main_images/small/03276.jpg")</f>
        <v>0.0</v>
      </c>
      <c r="F1479" s="2" t="inlineStr">
        <is>
          <t>5998312736005</t>
        </is>
      </c>
      <c r="G1479" s="4" t="inlineStr">
        <is>
          <t xml:space="preserve"> • výkon: 80 W 
 • regulovateľná teplota: nie 
 • zabudované osvetlenie: nie 
 • dĺžka kábla: 1,4 m 
 • kompatibilita: hrot k spájkovačke: FPH7 
 • príslušenstvo: podpera 
 • napájanie: 230 V~  / 50 Hz 
 • rozmery: 270 mm</t>
        </is>
      </c>
    </row>
    <row r="1480">
      <c r="A1480" s="3" t="inlineStr">
        <is>
          <t>SG109-150</t>
        </is>
      </c>
      <c r="B1480" s="2" t="inlineStr">
        <is>
          <t>Spájkovavia pištoľ</t>
        </is>
      </c>
      <c r="C1480" s="1" t="n">
        <v>27.79</v>
      </c>
      <c r="D1480" s="7" t="n">
        <f>HYPERLINK("https://www.somogyi.sk/product/spajkovavia-pistol-sg109-150-18516","https://www.somogyi.sk/product/spajkovavia-pistol-sg109-150-18516")</f>
        <v>0.0</v>
      </c>
      <c r="E1480" s="7" t="n">
        <f>HYPERLINK("https://www.somogyi.sk/data/img/product_main_images/small/18516.jpg","https://www.somogyi.sk/data/img/product_main_images/small/18516.jpg")</f>
        <v>0.0</v>
      </c>
      <c r="F1480" s="2" t="inlineStr">
        <is>
          <t>5999084965341</t>
        </is>
      </c>
      <c r="G1480" s="4" t="inlineStr">
        <is>
          <t xml:space="preserve"> • výkon: 150 W 
 • regulovateľná teplota: nie 
 • zabudované osvetlenie: 6 V / 3 W (6 x 28 mm) 
 • dĺžka kábla: ~1,1 m 
 • príslušenstvo: 1   1 žiarovka 
 • napájanie: 230 V~ / 50 Hz 
 • hmotnosť: 2,3 kg</t>
        </is>
      </c>
    </row>
    <row r="1481">
      <c r="A1481" s="3" t="inlineStr">
        <is>
          <t>FPL 80W</t>
        </is>
      </c>
      <c r="B1481" s="2" t="inlineStr">
        <is>
          <t>Elektrická spájkovačka, s regulátorom teploty, 80 W</t>
        </is>
      </c>
      <c r="C1481" s="1" t="n">
        <v>31.29</v>
      </c>
      <c r="D1481" s="7" t="n">
        <f>HYPERLINK("https://www.somogyi.sk/product/elektricka-spajkovacka-s-regulatorom-teploty-80-w-fpl-80w-17943","https://www.somogyi.sk/product/elektricka-spajkovacka-s-regulatorom-teploty-80-w-fpl-80w-17943")</f>
        <v>0.0</v>
      </c>
      <c r="E1481" s="7" t="n">
        <f>HYPERLINK("https://www.somogyi.sk/data/img/product_main_images/small/17943.jpg","https://www.somogyi.sk/data/img/product_main_images/small/17943.jpg")</f>
        <v>0.0</v>
      </c>
      <c r="F1481" s="2" t="inlineStr">
        <is>
          <t>5999084959654</t>
        </is>
      </c>
      <c r="G1481" s="4" t="inlineStr">
        <is>
          <t xml:space="preserve"> • výkon: max. 80 W 
 • regulovateľná teplota: 180 - 480 °C 
 • kompatibilita: FPL 80T sada hrotov (opcia) 
 • príslušenstvo: 1   5 ks poniklovaných spájkovacích hrotov 
 • napájanie: 230 V~ / 50 Hz 
 • rozmery: dĺžka: ~23 cm 
 • balenie: 1 ks</t>
        </is>
      </c>
    </row>
    <row r="1482">
      <c r="A1482" s="3" t="inlineStr">
        <is>
          <t>FPH 4</t>
        </is>
      </c>
      <c r="B1482" s="2" t="inlineStr">
        <is>
          <t>Rovný hrot k spájkovačke, 4 mm</t>
        </is>
      </c>
      <c r="C1482" s="1" t="n">
        <v>1.39</v>
      </c>
      <c r="D1482" s="7" t="n">
        <f>HYPERLINK("https://www.somogyi.sk/product/rovny-hrot-k-spajkovacke-4-mm-fph-4-2585","https://www.somogyi.sk/product/rovny-hrot-k-spajkovacke-4-mm-fph-4-2585")</f>
        <v>0.0</v>
      </c>
      <c r="E1482" s="7" t="n">
        <f>HYPERLINK("https://www.somogyi.sk/data/img/product_main_images/small/02585.jpg","https://www.somogyi.sk/data/img/product_main_images/small/02585.jpg")</f>
        <v>0.0</v>
      </c>
      <c r="F1482" s="2" t="inlineStr">
        <is>
          <t>5998312728994</t>
        </is>
      </c>
      <c r="G1482" s="4" t="inlineStr">
        <is>
          <t xml:space="preserve"> • kompatibilita: k spájkovačke FP 30/VDE, FP 1230/VDE 
 • rozmery: Ø 4 mm</t>
        </is>
      </c>
    </row>
    <row r="1483">
      <c r="A1483" s="3" t="inlineStr">
        <is>
          <t>SG 109</t>
        </is>
      </c>
      <c r="B1483" s="2" t="inlineStr">
        <is>
          <t>Spájkovacia pištoľ</t>
        </is>
      </c>
      <c r="C1483" s="1" t="n">
        <v>18.19</v>
      </c>
      <c r="D1483" s="7" t="n">
        <f>HYPERLINK("https://www.somogyi.sk/product/spajkovacia-pistol-sg-109-6708","https://www.somogyi.sk/product/spajkovacia-pistol-sg-109-6708")</f>
        <v>0.0</v>
      </c>
      <c r="E1483" s="7" t="n">
        <f>HYPERLINK("https://www.somogyi.sk/data/img/product_main_images/small/06708.jpg","https://www.somogyi.sk/data/img/product_main_images/small/06708.jpg")</f>
        <v>0.0</v>
      </c>
      <c r="F1483" s="2" t="inlineStr">
        <is>
          <t>5998312757444</t>
        </is>
      </c>
      <c r="G1483" s="4" t="inlineStr">
        <is>
          <t xml:space="preserve"> • výkon: 100 W 
 • regulovateľná teplota: nie 
 • zabudované osvetlenie: áno 
 • kompatibilita: hrot k spájkovačke: SG 109T 
 • napájanie: 230 V~  / 50 Hz</t>
        </is>
      </c>
    </row>
    <row r="1484">
      <c r="A1484" s="3" t="inlineStr">
        <is>
          <t>SG 109T</t>
        </is>
      </c>
      <c r="B1484" s="2" t="inlineStr">
        <is>
          <t>Náhradný hrot k SG 109 spájkovačke</t>
        </is>
      </c>
      <c r="C1484" s="1" t="n">
        <v>1.89</v>
      </c>
      <c r="D1484" s="7" t="n">
        <f>HYPERLINK("https://www.somogyi.sk/product/nahradny-hrot-k-sg-109-spajkovacke-sg-109t-6823","https://www.somogyi.sk/product/nahradny-hrot-k-sg-109-spajkovacke-sg-109t-6823")</f>
        <v>0.0</v>
      </c>
      <c r="E1484" s="7" t="n">
        <f>HYPERLINK("https://www.somogyi.sk/data/img/product_main_images/small/06823.jpg","https://www.somogyi.sk/data/img/product_main_images/small/06823.jpg")</f>
        <v>0.0</v>
      </c>
      <c r="F1484" s="2" t="inlineStr">
        <is>
          <t>5998312758410</t>
        </is>
      </c>
      <c r="G1484" s="4" t="inlineStr">
        <is>
          <t xml:space="preserve"> • kompatibilita: k spájkovacej pištoli SG 109</t>
        </is>
      </c>
    </row>
    <row r="1485">
      <c r="A1485" s="6" t="inlineStr">
        <is>
          <t xml:space="preserve">   Meranie, nástroje, spájkovanie / Odsávač cínu</t>
        </is>
      </c>
      <c r="B1485" s="6" t="inlineStr">
        <is>
          <t/>
        </is>
      </c>
      <c r="C1485" s="6" t="inlineStr">
        <is>
          <t/>
        </is>
      </c>
      <c r="D1485" s="6" t="inlineStr">
        <is>
          <t/>
        </is>
      </c>
      <c r="E1485" s="6" t="inlineStr">
        <is>
          <t/>
        </is>
      </c>
      <c r="F1485" s="6" t="inlineStr">
        <is>
          <t/>
        </is>
      </c>
      <c r="G1485" s="6" t="inlineStr">
        <is>
          <t/>
        </is>
      </c>
    </row>
    <row r="1486">
      <c r="A1486" s="3" t="inlineStr">
        <is>
          <t>8PK-366N-G</t>
        </is>
      </c>
      <c r="B1486" s="2" t="inlineStr">
        <is>
          <t>Odsávač cínu</t>
        </is>
      </c>
      <c r="C1486" s="1" t="n">
        <v>6.89</v>
      </c>
      <c r="D1486" s="7" t="n">
        <f>HYPERLINK("https://www.somogyi.sk/product/odsavac-cinu-8pk-366n-g-4467","https://www.somogyi.sk/product/odsavac-cinu-8pk-366n-g-4467")</f>
        <v>0.0</v>
      </c>
      <c r="E1486" s="7" t="n">
        <f>HYPERLINK("https://www.somogyi.sk/data/img/product_main_images/small/04467.jpg","https://www.somogyi.sk/data/img/product_main_images/small/04467.jpg")</f>
        <v>0.0</v>
      </c>
      <c r="F1486" s="2" t="inlineStr">
        <is>
          <t>5998312739297</t>
        </is>
      </c>
      <c r="G1486" s="4" t="inlineStr">
        <is>
          <t xml:space="preserve"> • materiál: plast, špica z teflónu 
 • kompatibilita: 5PK-366N-T náhradná špica 
 • rozmery: Ø 26 x 205 mm</t>
        </is>
      </c>
    </row>
    <row r="1487">
      <c r="A1487" s="3" t="inlineStr">
        <is>
          <t>5PK-366N-T</t>
        </is>
      </c>
      <c r="B1487" s="2" t="inlineStr">
        <is>
          <t>Náhradná špica k odsávačke cínu</t>
        </is>
      </c>
      <c r="C1487" s="1" t="n">
        <v>2.69</v>
      </c>
      <c r="D1487" s="7" t="n">
        <f>HYPERLINK("https://www.somogyi.sk/product/nahradna-spica-k-odsavacke-cinu-5pk-366n-t-4758","https://www.somogyi.sk/product/nahradna-spica-k-odsavacke-cinu-5pk-366n-t-4758")</f>
        <v>0.0</v>
      </c>
      <c r="E1487" s="7" t="n">
        <f>HYPERLINK("https://www.somogyi.sk/data/img/product_main_images/small/04758.jpg","https://www.somogyi.sk/data/img/product_main_images/small/04758.jpg")</f>
        <v>0.0</v>
      </c>
      <c r="F1487" s="2" t="inlineStr">
        <is>
          <t>5998312742013</t>
        </is>
      </c>
      <c r="G1487" s="4" t="inlineStr">
        <is>
          <t xml:space="preserve"> • materiál: teflón 
 • kompatibilita: 8PK-366N-G odsávač cínu 
 • rozmery: -</t>
        </is>
      </c>
    </row>
    <row r="1488">
      <c r="A1488" s="3" t="inlineStr">
        <is>
          <t>8PK-366D</t>
        </is>
      </c>
      <c r="B1488" s="2" t="inlineStr">
        <is>
          <t>Odsávač cínu</t>
        </is>
      </c>
      <c r="C1488" s="1" t="n">
        <v>7.49</v>
      </c>
      <c r="D1488" s="7" t="n">
        <f>HYPERLINK("https://www.somogyi.sk/product/odsavac-cinu-8pk-366d-19065","https://www.somogyi.sk/product/odsavac-cinu-8pk-366d-19065")</f>
        <v>0.0</v>
      </c>
      <c r="E1488" s="7" t="n">
        <f>HYPERLINK("https://www.somogyi.sk/data/img/product_main_images/small/19065.jpg","https://www.somogyi.sk/data/img/product_main_images/small/19065.jpg")</f>
        <v>0.0</v>
      </c>
      <c r="F1488" s="2" t="inlineStr">
        <is>
          <t>5999084970581</t>
        </is>
      </c>
      <c r="G1488" s="4" t="inlineStr">
        <is>
          <t xml:space="preserve"> • rozmery: ∅18 x 163 m</t>
        </is>
      </c>
    </row>
    <row r="1489">
      <c r="A1489" s="6" t="inlineStr">
        <is>
          <t xml:space="preserve">   Meranie, nástroje, spájkovanie / Cín, pomocný materiál</t>
        </is>
      </c>
      <c r="B1489" s="6" t="inlineStr">
        <is>
          <t/>
        </is>
      </c>
      <c r="C1489" s="6" t="inlineStr">
        <is>
          <t/>
        </is>
      </c>
      <c r="D1489" s="6" t="inlineStr">
        <is>
          <t/>
        </is>
      </c>
      <c r="E1489" s="6" t="inlineStr">
        <is>
          <t/>
        </is>
      </c>
      <c r="F1489" s="6" t="inlineStr">
        <is>
          <t/>
        </is>
      </c>
      <c r="G1489" s="6" t="inlineStr">
        <is>
          <t/>
        </is>
      </c>
    </row>
    <row r="1490">
      <c r="A1490" s="3" t="inlineStr">
        <is>
          <t>SW 3/250</t>
        </is>
      </c>
      <c r="B1490" s="2" t="inlineStr">
        <is>
          <t>Cín s kolofóniou 3/250g</t>
        </is>
      </c>
      <c r="C1490" s="1" t="n">
        <v>23.49</v>
      </c>
      <c r="D1490" s="7" t="n">
        <f>HYPERLINK("https://www.somogyi.sk/product/cin-s-kolofoniou-3-250g-sw-3-250-7721","https://www.somogyi.sk/product/cin-s-kolofoniou-3-250g-sw-3-250-7721")</f>
        <v>0.0</v>
      </c>
      <c r="E1490" s="7" t="n">
        <f>HYPERLINK("https://www.somogyi.sk/data/img/product_main_images/small/07721.jpg","https://www.somogyi.sk/data/img/product_main_images/small/07721.jpg")</f>
        <v>0.0</v>
      </c>
      <c r="F1490" s="2" t="inlineStr">
        <is>
          <t>5998312766835</t>
        </is>
      </c>
      <c r="G1490" s="4" t="inlineStr">
        <is>
          <t xml:space="preserve"> • zloženie: SN60/PB40/2, 0% kalafúna 
 • priemer cínu: Ø 3,0 mm 
 • vyhotovenie: 250 g 
 • ďalšie informácie: Len na odborné použitie.</t>
        </is>
      </c>
    </row>
    <row r="1491">
      <c r="A1491" s="3" t="inlineStr">
        <is>
          <t>SWCU 1/17</t>
        </is>
      </c>
      <c r="B1491" s="2" t="inlineStr">
        <is>
          <t>Podávač cínu, 1mm, 17g</t>
        </is>
      </c>
      <c r="C1491" s="1" t="n">
        <v>4.09</v>
      </c>
      <c r="D1491" s="7" t="n">
        <f>HYPERLINK("https://www.somogyi.sk/product/podavac-cinu-1mm-17g-swcu-1-17-6955","https://www.somogyi.sk/product/podavac-cinu-1mm-17g-swcu-1-17-6955")</f>
        <v>0.0</v>
      </c>
      <c r="E1491" s="7" t="n">
        <f>HYPERLINK("https://www.somogyi.sk/data/img/product_main_images/small/06955.jpg","https://www.somogyi.sk/data/img/product_main_images/small/06955.jpg")</f>
        <v>0.0</v>
      </c>
      <c r="F1491" s="2" t="inlineStr">
        <is>
          <t>5998312759684</t>
        </is>
      </c>
      <c r="G1491" s="4" t="inlineStr">
        <is>
          <t xml:space="preserve"> • zloženie: SW 99,5/CU 0,5%/2,2% kalafúna 
 • priemer cínu: Ø 1 mm 
 • vyhotovenie: 17 g 
 • rozmery: Ø 17 x 91 mm</t>
        </is>
      </c>
    </row>
    <row r="1492">
      <c r="A1492" s="3" t="inlineStr">
        <is>
          <t>SW 1,5/250</t>
        </is>
      </c>
      <c r="B1492" s="2" t="inlineStr">
        <is>
          <t>Cín s kolofóniou, O1,5 mm, 250</t>
        </is>
      </c>
      <c r="C1492" s="1" t="n">
        <v>23.49</v>
      </c>
      <c r="D1492" s="7" t="n">
        <f>HYPERLINK("https://www.somogyi.sk/product/cin-s-kolofoniou-o1-5-mm-250-sw-1-5-250-4429","https://www.somogyi.sk/product/cin-s-kolofoniou-o1-5-mm-250-sw-1-5-250-4429")</f>
        <v>0.0</v>
      </c>
      <c r="E1492" s="7" t="n">
        <f>HYPERLINK("https://www.somogyi.sk/data/img/product_main_images/small/04429.jpg","https://www.somogyi.sk/data/img/product_main_images/small/04429.jpg")</f>
        <v>0.0</v>
      </c>
      <c r="F1492" s="2" t="inlineStr">
        <is>
          <t>5998312738917</t>
        </is>
      </c>
      <c r="G1492" s="4" t="inlineStr">
        <is>
          <t xml:space="preserve"> • zloženie: SN60/PB40/2, 0% kalafúna 
 • priemer cínu: Ø 1,5 mm 
 • vyhotovenie: 250 g 
 • ďalšie informácie: Len na odborné použitie.</t>
        </is>
      </c>
    </row>
    <row r="1493">
      <c r="A1493" s="3" t="inlineStr">
        <is>
          <t>SW 1/100</t>
        </is>
      </c>
      <c r="B1493" s="2" t="inlineStr">
        <is>
          <t>Cín s kolofóniou, O1,0 mm, 100</t>
        </is>
      </c>
      <c r="C1493" s="1" t="n">
        <v>10.39</v>
      </c>
      <c r="D1493" s="7" t="n">
        <f>HYPERLINK("https://www.somogyi.sk/product/cin-s-kolofoniou-o1-0-mm-100-sw-1-100-4425","https://www.somogyi.sk/product/cin-s-kolofoniou-o1-0-mm-100-sw-1-100-4425")</f>
        <v>0.0</v>
      </c>
      <c r="E1493" s="7" t="n">
        <f>HYPERLINK("https://www.somogyi.sk/data/img/product_main_images/small/04425.jpg","https://www.somogyi.sk/data/img/product_main_images/small/04425.jpg")</f>
        <v>0.0</v>
      </c>
      <c r="F1493" s="2" t="inlineStr">
        <is>
          <t>5998312738870</t>
        </is>
      </c>
      <c r="G1493" s="4" t="inlineStr">
        <is>
          <t xml:space="preserve"> • zloženie: SN60/PB40/2, 0% kalafúna 
 • priemer cínu: Ø 1,0 mm 
 • vyhotovenie: 100 g 
 • ďalšie informácie: Len na odborné použitie.</t>
        </is>
      </c>
    </row>
    <row r="1494">
      <c r="A1494" s="3" t="inlineStr">
        <is>
          <t>SW 1,5/500</t>
        </is>
      </c>
      <c r="B1494" s="2" t="inlineStr">
        <is>
          <t>Cín s kolofóniou, O1,5 mm, 500</t>
        </is>
      </c>
      <c r="C1494" s="1" t="n">
        <v>45.79</v>
      </c>
      <c r="D1494" s="7" t="n">
        <f>HYPERLINK("https://www.somogyi.sk/product/cin-s-kolofoniou-o1-5-mm-500-sw-1-5-500-4430","https://www.somogyi.sk/product/cin-s-kolofoniou-o1-5-mm-500-sw-1-5-500-4430")</f>
        <v>0.0</v>
      </c>
      <c r="E1494" s="7" t="n">
        <f>HYPERLINK("https://www.somogyi.sk/data/img/product_main_images/small/04430.jpg","https://www.somogyi.sk/data/img/product_main_images/small/04430.jpg")</f>
        <v>0.0</v>
      </c>
      <c r="F1494" s="2" t="inlineStr">
        <is>
          <t>5998312738924</t>
        </is>
      </c>
      <c r="G1494" s="4" t="inlineStr">
        <is>
          <t xml:space="preserve"> • zloženie: SN60/PB40/2, 0% kalafúna 
 • priemer cínu: Ø 1,5 mm 
 • vyhotovenie: 500 g 
 • ďalšie informácie: Len na odborné použitie.</t>
        </is>
      </c>
    </row>
    <row r="1495">
      <c r="A1495" s="3" t="inlineStr">
        <is>
          <t>SW 2/100</t>
        </is>
      </c>
      <c r="B1495" s="2" t="inlineStr">
        <is>
          <t>Cín s kolofóniou 2/100g</t>
        </is>
      </c>
      <c r="C1495" s="1" t="n">
        <v>10.39</v>
      </c>
      <c r="D1495" s="7" t="n">
        <f>HYPERLINK("https://www.somogyi.sk/product/cin-s-kolofoniou-2-100g-sw-2-100-7512","https://www.somogyi.sk/product/cin-s-kolofoniou-2-100g-sw-2-100-7512")</f>
        <v>0.0</v>
      </c>
      <c r="E1495" s="7" t="n">
        <f>HYPERLINK("https://www.somogyi.sk/data/img/product_main_images/small/07512.jpg","https://www.somogyi.sk/data/img/product_main_images/small/07512.jpg")</f>
        <v>0.0</v>
      </c>
      <c r="F1495" s="2" t="inlineStr">
        <is>
          <t>5998312764961</t>
        </is>
      </c>
      <c r="G1495" s="4" t="inlineStr">
        <is>
          <t xml:space="preserve"> • zloženie: SN60/PB40/2, 0% kalafúna 
 • priemer cínu: Ø 2,0 mm 
 • vyhotovenie: 100 g 
 • ďalšie informácie: Len na odborné použitie.</t>
        </is>
      </c>
    </row>
    <row r="1496">
      <c r="A1496" s="3" t="inlineStr">
        <is>
          <t>SW 0,8/250</t>
        </is>
      </c>
      <c r="B1496" s="2" t="inlineStr">
        <is>
          <t>Cín s kolofóniou, O0,8 mm, 250</t>
        </is>
      </c>
      <c r="C1496" s="1" t="n">
        <v>23.99</v>
      </c>
      <c r="D1496" s="7" t="n">
        <f>HYPERLINK("https://www.somogyi.sk/product/cin-s-kolofoniou-o0-8-mm-250-sw-0-8-250-4422","https://www.somogyi.sk/product/cin-s-kolofoniou-o0-8-mm-250-sw-0-8-250-4422")</f>
        <v>0.0</v>
      </c>
      <c r="E1496" s="7" t="n">
        <f>HYPERLINK("https://www.somogyi.sk/data/img/product_main_images/small/04422.jpg","https://www.somogyi.sk/data/img/product_main_images/small/04422.jpg")</f>
        <v>0.0</v>
      </c>
      <c r="F1496" s="2" t="inlineStr">
        <is>
          <t>5998312738849</t>
        </is>
      </c>
      <c r="G1496" s="4" t="inlineStr">
        <is>
          <t xml:space="preserve"> • zloženie: SN60/PB40/2, 0% kalafúna 
 • priemer cínu: Ø 0,8 mm 
 • vyhotovenie: 250 g 
 • ďalšie informácie: Len na odborné použitie.</t>
        </is>
      </c>
    </row>
    <row r="1497">
      <c r="A1497" s="3" t="inlineStr">
        <is>
          <t>SW 1/250</t>
        </is>
      </c>
      <c r="B1497" s="2" t="inlineStr">
        <is>
          <t>Cín s kolofóniou, O1,0 mm, 250</t>
        </is>
      </c>
      <c r="C1497" s="1" t="n">
        <v>23.49</v>
      </c>
      <c r="D1497" s="7" t="n">
        <f>HYPERLINK("https://www.somogyi.sk/product/cin-s-kolofoniou-o1-0-mm-250-sw-1-250-4427","https://www.somogyi.sk/product/cin-s-kolofoniou-o1-0-mm-250-sw-1-250-4427")</f>
        <v>0.0</v>
      </c>
      <c r="E1497" s="7" t="n">
        <f>HYPERLINK("https://www.somogyi.sk/data/img/product_main_images/small/04427.jpg","https://www.somogyi.sk/data/img/product_main_images/small/04427.jpg")</f>
        <v>0.0</v>
      </c>
      <c r="F1497" s="2" t="inlineStr">
        <is>
          <t>5998312738894</t>
        </is>
      </c>
      <c r="G1497" s="4" t="inlineStr">
        <is>
          <t xml:space="preserve"> • zloženie: SN60/PB40/2, 0% kalafúna 
 • priemer cínu: Ø 1,0 mm 
 • vyhotovenie: 250 g 
 • ďalšie informácie: Len na odborné použitie.</t>
        </is>
      </c>
    </row>
    <row r="1498">
      <c r="A1498" s="3" t="inlineStr">
        <is>
          <t>SW 2/250</t>
        </is>
      </c>
      <c r="B1498" s="2" t="inlineStr">
        <is>
          <t>Cín s kolofóniou 2/250g</t>
        </is>
      </c>
      <c r="C1498" s="1" t="n">
        <v>23.49</v>
      </c>
      <c r="D1498" s="7" t="n">
        <f>HYPERLINK("https://www.somogyi.sk/product/cin-s-kolofoniou-2-250g-sw-2-250-7513","https://www.somogyi.sk/product/cin-s-kolofoniou-2-250g-sw-2-250-7513")</f>
        <v>0.0</v>
      </c>
      <c r="E1498" s="7" t="n">
        <f>HYPERLINK("https://www.somogyi.sk/data/img/product_main_images/small/07513.jpg","https://www.somogyi.sk/data/img/product_main_images/small/07513.jpg")</f>
        <v>0.0</v>
      </c>
      <c r="F1498" s="2" t="inlineStr">
        <is>
          <t>5998312764978</t>
        </is>
      </c>
      <c r="G1498" s="4" t="inlineStr">
        <is>
          <t xml:space="preserve"> • zloženie: SN60/PB40/2, 0% kalafúna 
 • priemer cínu: Ø 2,0 mm 
 • vyhotovenie: 250 g 
 • ďalšie informácie: Len na odborné použitie.</t>
        </is>
      </c>
    </row>
    <row r="1499">
      <c r="A1499" s="3" t="inlineStr">
        <is>
          <t>SW 0,5/250</t>
        </is>
      </c>
      <c r="B1499" s="2" t="inlineStr">
        <is>
          <t>Cín s kolofóniou, O0,5 mm, 250</t>
        </is>
      </c>
      <c r="C1499" s="1" t="n">
        <v>43.79</v>
      </c>
      <c r="D1499" s="7" t="n">
        <f>HYPERLINK("https://www.somogyi.sk/product/cin-s-kolofoniou-o0-5-mm-250-sw-0-5-250-4431","https://www.somogyi.sk/product/cin-s-kolofoniou-o0-5-mm-250-sw-0-5-250-4431")</f>
        <v>0.0</v>
      </c>
      <c r="E1499" s="7" t="n">
        <f>HYPERLINK("https://www.somogyi.sk/data/img/product_main_images/small/04431.jpg","https://www.somogyi.sk/data/img/product_main_images/small/04431.jpg")</f>
        <v>0.0</v>
      </c>
      <c r="F1499" s="2" t="inlineStr">
        <is>
          <t>5998312738931</t>
        </is>
      </c>
      <c r="G1499" s="4" t="inlineStr">
        <is>
          <t xml:space="preserve"> • zloženie: SN60/PB40/2, 0% kalafúna 
 • priemer cínu: Ø 0,5 mm 
 • vyhotovenie: 250 g 
 • ďalšie informácie: Len na odborné použitie.</t>
        </is>
      </c>
    </row>
    <row r="1500">
      <c r="A1500" s="3" t="inlineStr">
        <is>
          <t>SW 2/500</t>
        </is>
      </c>
      <c r="B1500" s="2" t="inlineStr">
        <is>
          <t>Cín s kolofóniou 2/500g</t>
        </is>
      </c>
      <c r="C1500" s="1" t="n">
        <v>45.79</v>
      </c>
      <c r="D1500" s="7" t="n">
        <f>HYPERLINK("https://www.somogyi.sk/product/cin-s-kolofoniou-2-500g-sw-2-500-7514","https://www.somogyi.sk/product/cin-s-kolofoniou-2-500g-sw-2-500-7514")</f>
        <v>0.0</v>
      </c>
      <c r="E1500" s="7" t="n">
        <f>HYPERLINK("https://www.somogyi.sk/data/img/product_main_images/small/07514.jpg","https://www.somogyi.sk/data/img/product_main_images/small/07514.jpg")</f>
        <v>0.0</v>
      </c>
      <c r="F1500" s="2" t="inlineStr">
        <is>
          <t>5998312764985</t>
        </is>
      </c>
      <c r="G1500" s="4" t="inlineStr">
        <is>
          <t xml:space="preserve"> • zloženie: SN60/PB40/2, 0% kalafúna 
 • priemer cínu: Ø 2,0 mm 
 • vyhotovenie: 500 g 
 • ďalšie informácie: Len na odborné použitie.</t>
        </is>
      </c>
    </row>
    <row r="1501">
      <c r="A1501" s="3" t="inlineStr">
        <is>
          <t>SW 0,8/500</t>
        </is>
      </c>
      <c r="B1501" s="2" t="inlineStr">
        <is>
          <t>Cín s kolofóniou, O0,8 mm, 500</t>
        </is>
      </c>
      <c r="C1501" s="1" t="n">
        <v>46.99</v>
      </c>
      <c r="D1501" s="7" t="n">
        <f>HYPERLINK("https://www.somogyi.sk/product/cin-s-kolofoniou-o0-8-mm-500-sw-0-8-500-4423","https://www.somogyi.sk/product/cin-s-kolofoniou-o0-8-mm-500-sw-0-8-500-4423")</f>
        <v>0.0</v>
      </c>
      <c r="E1501" s="7" t="n">
        <f>HYPERLINK("https://www.somogyi.sk/data/img/product_main_images/small/04423.jpg","https://www.somogyi.sk/data/img/product_main_images/small/04423.jpg")</f>
        <v>0.0</v>
      </c>
      <c r="F1501" s="2" t="inlineStr">
        <is>
          <t>5998312738856</t>
        </is>
      </c>
      <c r="G1501" s="4" t="inlineStr">
        <is>
          <t xml:space="preserve"> • zloženie: SN60/PB40/2, 0% kalafúna 
 • priemer cínu: Ø 0,8 mm 
 • vyhotovenie: 500 g 
 • ďalšie informácie: Len na odborné použitie.</t>
        </is>
      </c>
    </row>
    <row r="1502">
      <c r="A1502" s="3" t="inlineStr">
        <is>
          <t>SW 0,8/100</t>
        </is>
      </c>
      <c r="B1502" s="2" t="inlineStr">
        <is>
          <t>Cín s kolofóniou, O0,8 mm, 100</t>
        </is>
      </c>
      <c r="C1502" s="1" t="n">
        <v>10.39</v>
      </c>
      <c r="D1502" s="7" t="n">
        <f>HYPERLINK("https://www.somogyi.sk/product/cin-s-kolofoniou-o0-8-mm-100-sw-0-8-100-4421","https://www.somogyi.sk/product/cin-s-kolofoniou-o0-8-mm-100-sw-0-8-100-4421")</f>
        <v>0.0</v>
      </c>
      <c r="E1502" s="7" t="n">
        <f>HYPERLINK("https://www.somogyi.sk/data/img/product_main_images/small/04421.jpg","https://www.somogyi.sk/data/img/product_main_images/small/04421.jpg")</f>
        <v>0.0</v>
      </c>
      <c r="F1502" s="2" t="inlineStr">
        <is>
          <t>5998312738832</t>
        </is>
      </c>
      <c r="G1502" s="4" t="inlineStr">
        <is>
          <t xml:space="preserve"> • zloženie: SN60/PB40/2, 0% kalafúna 
 • priemer cínu: Ø 0,8 mm 
 • vyhotovenie: 100 g 
 • ďalšie informácie: Len na odborné použitie.</t>
        </is>
      </c>
    </row>
    <row r="1503">
      <c r="A1503" s="3" t="inlineStr">
        <is>
          <t>SWCU 1/100</t>
        </is>
      </c>
      <c r="B1503" s="2" t="inlineStr">
        <is>
          <t>1/100g podávač cínu, bez olova</t>
        </is>
      </c>
      <c r="C1503" s="1" t="n">
        <v>15.29</v>
      </c>
      <c r="D1503" s="7" t="n">
        <f>HYPERLINK("https://www.somogyi.sk/product/1-100g-podavac-cinu-bez-olova-swcu-1-100-17371","https://www.somogyi.sk/product/1-100g-podavac-cinu-bez-olova-swcu-1-100-17371")</f>
        <v>0.0</v>
      </c>
      <c r="E1503" s="7" t="n">
        <f>HYPERLINK("https://www.somogyi.sk/data/img/product_main_images/small/17371.jpg","https://www.somogyi.sk/data/img/product_main_images/small/17371.jpg")</f>
        <v>0.0</v>
      </c>
      <c r="F1503" s="2" t="inlineStr">
        <is>
          <t>5999084953935</t>
        </is>
      </c>
      <c r="G1503" s="4" t="inlineStr">
        <is>
          <t xml:space="preserve"> • zloženie: Sn/Cu: 99,3%/0,7% 
 • priemer cínu: Ø 1,0 mm 
 • vyhotovenie: 100 g 
 • ďalšie informácie: Bez olova!</t>
        </is>
      </c>
    </row>
    <row r="1504">
      <c r="A1504" s="3" t="inlineStr">
        <is>
          <t>SW 1/500</t>
        </is>
      </c>
      <c r="B1504" s="2" t="inlineStr">
        <is>
          <t>Cín s kolofóniou, O1,0 mm, 500</t>
        </is>
      </c>
      <c r="C1504" s="1" t="n">
        <v>45.79</v>
      </c>
      <c r="D1504" s="7" t="n">
        <f>HYPERLINK("https://www.somogyi.sk/product/cin-s-kolofoniou-o1-0-mm-500-sw-1-500-4426","https://www.somogyi.sk/product/cin-s-kolofoniou-o1-0-mm-500-sw-1-500-4426")</f>
        <v>0.0</v>
      </c>
      <c r="E1504" s="7" t="n">
        <f>HYPERLINK("https://www.somogyi.sk/data/img/product_main_images/small/04426.jpg","https://www.somogyi.sk/data/img/product_main_images/small/04426.jpg")</f>
        <v>0.0</v>
      </c>
      <c r="F1504" s="2" t="inlineStr">
        <is>
          <t>5998312738887</t>
        </is>
      </c>
      <c r="G1504" s="4" t="inlineStr">
        <is>
          <t xml:space="preserve"> • zloženie: SN60/PB40/2, 0% kalafúna 
 • priemer cínu: Ø 1,0 mm 
 • vyhotovenie: 500 g 
 • ďalšie informácie: Len na odborné použitie.</t>
        </is>
      </c>
    </row>
    <row r="1505">
      <c r="A1505" s="6" t="inlineStr">
        <is>
          <t xml:space="preserve">   Meranie, nástroje, spájkovanie / Lepiaca pištoľ, lepiaca tyčinka</t>
        </is>
      </c>
      <c r="B1505" s="6" t="inlineStr">
        <is>
          <t/>
        </is>
      </c>
      <c r="C1505" s="6" t="inlineStr">
        <is>
          <t/>
        </is>
      </c>
      <c r="D1505" s="6" t="inlineStr">
        <is>
          <t/>
        </is>
      </c>
      <c r="E1505" s="6" t="inlineStr">
        <is>
          <t/>
        </is>
      </c>
      <c r="F1505" s="6" t="inlineStr">
        <is>
          <t/>
        </is>
      </c>
      <c r="G1505" s="6" t="inlineStr">
        <is>
          <t/>
        </is>
      </c>
    </row>
    <row r="1506">
      <c r="A1506" s="3" t="inlineStr">
        <is>
          <t>SMA 007</t>
        </is>
      </c>
      <c r="B1506" s="2" t="inlineStr">
        <is>
          <t>Lepiaca pištoľ, 100 W</t>
        </is>
      </c>
      <c r="C1506" s="1" t="n">
        <v>9.29</v>
      </c>
      <c r="D1506" s="7" t="n">
        <f>HYPERLINK("https://www.somogyi.sk/product/lepiaca-pistol-100-w-sma-007-6705","https://www.somogyi.sk/product/lepiaca-pistol-100-w-sma-007-6705")</f>
        <v>0.0</v>
      </c>
      <c r="E1506" s="7" t="n">
        <f>HYPERLINK("https://www.somogyi.sk/data/img/product_main_images/small/06705.jpg","https://www.somogyi.sk/data/img/product_main_images/small/06705.jpg")</f>
        <v>0.0</v>
      </c>
      <c r="F1506" s="2" t="inlineStr">
        <is>
          <t>5998312757413</t>
        </is>
      </c>
      <c r="G1506" s="4" t="inlineStr">
        <is>
          <t xml:space="preserve"> • výkon: 25 (100) W 
 • vypínač: nie 
 • kontrolka ohrevu: nie 
 • vyklápateľná podpera: áno 
 • kompatibilita: SMA 067T lepiaca tyčinka 
 • príslušenstvo: 2 ks lepiacich tyčiniek 
 • napájanie: 230 V~  / 50 Hz</t>
        </is>
      </c>
    </row>
    <row r="1507">
      <c r="A1507" s="3" t="inlineStr">
        <is>
          <t>SMA 005T</t>
        </is>
      </c>
      <c r="B1507" s="2" t="inlineStr">
        <is>
          <t>Lepiaca tyčinka, 7x100mm, 20 ks/balenie</t>
        </is>
      </c>
      <c r="C1507" s="1" t="n">
        <v>3.19</v>
      </c>
      <c r="D1507" s="7" t="n">
        <f>HYPERLINK("https://www.somogyi.sk/product/lepiaca-tycinka-7x100mm-20-ks-balenie-sma-005t-6706","https://www.somogyi.sk/product/lepiaca-tycinka-7x100mm-20-ks-balenie-sma-005t-6706")</f>
        <v>0.0</v>
      </c>
      <c r="E1507" s="7" t="n">
        <f>HYPERLINK("https://www.somogyi.sk/data/img/product_main_images/small/06706.jpg","https://www.somogyi.sk/data/img/product_main_images/small/06706.jpg")</f>
        <v>0.0</v>
      </c>
      <c r="F1507" s="2" t="inlineStr">
        <is>
          <t>5998312757420</t>
        </is>
      </c>
      <c r="G1507" s="4" t="inlineStr">
        <is>
          <t xml:space="preserve"> • kompatibilita: k lepiacej pištoli SMA 009 / SMA 005 
 • rozmer lepiacej tyčinky: Ø 7 mm x 100 mm</t>
        </is>
      </c>
    </row>
    <row r="1508">
      <c r="A1508" s="3" t="inlineStr">
        <is>
          <t>SMA 067T</t>
        </is>
      </c>
      <c r="B1508" s="2" t="inlineStr">
        <is>
          <t>Lepiaca tyčinka, 11x100mm, 10 ks/balenie</t>
        </is>
      </c>
      <c r="C1508" s="1" t="n">
        <v>3.09</v>
      </c>
      <c r="D1508" s="7" t="n">
        <f>HYPERLINK("https://www.somogyi.sk/product/lepiaca-tycinka-11x100mm-10-ks-balenie-sma-067t-6707","https://www.somogyi.sk/product/lepiaca-tycinka-11x100mm-10-ks-balenie-sma-067t-6707")</f>
        <v>0.0</v>
      </c>
      <c r="E1508" s="7" t="n">
        <f>HYPERLINK("https://www.somogyi.sk/data/img/product_main_images/small/06707.jpg","https://www.somogyi.sk/data/img/product_main_images/small/06707.jpg")</f>
        <v>0.0</v>
      </c>
      <c r="F1508" s="2" t="inlineStr">
        <is>
          <t>5998312757437</t>
        </is>
      </c>
      <c r="G1508" s="4" t="inlineStr">
        <is>
          <t xml:space="preserve"> • kompatibilita: k lepiacej pištoli GK-380B / SMA 008 / SMA 007 / SMA 006 
 • rozmer lepiacej tyčinky: Ø 11 mm x 100 mm</t>
        </is>
      </c>
    </row>
    <row r="1509">
      <c r="A1509" s="3" t="inlineStr">
        <is>
          <t>SMA 005</t>
        </is>
      </c>
      <c r="B1509" s="2" t="inlineStr">
        <is>
          <t>Lepiaca pištoľ, 30 W</t>
        </is>
      </c>
      <c r="C1509" s="1" t="n">
        <v>5.09</v>
      </c>
      <c r="D1509" s="7" t="n">
        <f>HYPERLINK("https://www.somogyi.sk/product/lepiaca-pistol-30-w-sma-005-6703","https://www.somogyi.sk/product/lepiaca-pistol-30-w-sma-005-6703")</f>
        <v>0.0</v>
      </c>
      <c r="E1509" s="7" t="n">
        <f>HYPERLINK("https://www.somogyi.sk/data/img/product_main_images/small/06703.jpg","https://www.somogyi.sk/data/img/product_main_images/small/06703.jpg")</f>
        <v>0.0</v>
      </c>
      <c r="F1509" s="2" t="inlineStr">
        <is>
          <t>5998312757390</t>
        </is>
      </c>
      <c r="G1509" s="4" t="inlineStr">
        <is>
          <t xml:space="preserve"> • výkon: 10 (30) W 
 • vypínač: nie 
 • kontrolka ohrevu: nie 
 • vyklápateľná podpera: áno 
 • dĺžka kábla: 1,2 m 
 • kompatibilita: SMA 005T lepiaca tyčinka 
 • príslušenstvo: 2 ks lepiacich tyčiniek 
 • napájanie: 230 V~  / 50 Hz</t>
        </is>
      </c>
    </row>
    <row r="1510">
      <c r="A1510" s="6" t="inlineStr">
        <is>
          <t xml:space="preserve">   Meranie, nástroje, spájkovanie / Univerzálny odlamovací nôž</t>
        </is>
      </c>
      <c r="B1510" s="6" t="inlineStr">
        <is>
          <t/>
        </is>
      </c>
      <c r="C1510" s="6" t="inlineStr">
        <is>
          <t/>
        </is>
      </c>
      <c r="D1510" s="6" t="inlineStr">
        <is>
          <t/>
        </is>
      </c>
      <c r="E1510" s="6" t="inlineStr">
        <is>
          <t/>
        </is>
      </c>
      <c r="F1510" s="6" t="inlineStr">
        <is>
          <t/>
        </is>
      </c>
      <c r="G1510" s="6" t="inlineStr">
        <is>
          <t/>
        </is>
      </c>
    </row>
    <row r="1511">
      <c r="A1511" s="3" t="inlineStr">
        <is>
          <t>SZK 21</t>
        </is>
      </c>
      <c r="B1511" s="2" t="inlineStr">
        <is>
          <t>Odlamovací nôž</t>
        </is>
      </c>
      <c r="C1511" s="1" t="n">
        <v>1.89</v>
      </c>
      <c r="D1511" s="7" t="n">
        <f>HYPERLINK("https://www.somogyi.sk/product/odlamovaci-noz-szk-21-6486","https://www.somogyi.sk/product/odlamovaci-noz-szk-21-6486")</f>
        <v>0.0</v>
      </c>
      <c r="E1511" s="7" t="n">
        <f>HYPERLINK("https://www.somogyi.sk/data/img/product_main_images/small/06486.jpg","https://www.somogyi.sk/data/img/product_main_images/small/06486.jpg")</f>
        <v>0.0</v>
      </c>
      <c r="F1511" s="2" t="inlineStr">
        <is>
          <t>5998312755327</t>
        </is>
      </c>
      <c r="G1511" s="4" t="inlineStr">
        <is>
          <t xml:space="preserve"> • materiál krytu: plast 
 • kovová lišta na čepeľ: áno 
 • náhradné čepele v rukoväti: nie 
 • automatická výmena čepele: nie 
 • automatická fixácia čepele: nie 
 • kompatibilita: SZKB 2 čepeľ 
 • príslušenstvo: 1 ks čepele 
 • šírka čepele: 18 mm</t>
        </is>
      </c>
    </row>
    <row r="1512">
      <c r="A1512" s="3" t="inlineStr">
        <is>
          <t>SZK 20</t>
        </is>
      </c>
      <c r="B1512" s="2" t="inlineStr">
        <is>
          <t>Odlamovací nôž</t>
        </is>
      </c>
      <c r="C1512" s="1" t="n">
        <v>1.09</v>
      </c>
      <c r="D1512" s="7" t="n">
        <f>HYPERLINK("https://www.somogyi.sk/product/odlamovaci-noz-szk-20-6485","https://www.somogyi.sk/product/odlamovaci-noz-szk-20-6485")</f>
        <v>0.0</v>
      </c>
      <c r="E1512" s="7" t="n">
        <f>HYPERLINK("https://www.somogyi.sk/data/img/product_main_images/small/06485.jpg","https://www.somogyi.sk/data/img/product_main_images/small/06485.jpg")</f>
        <v>0.0</v>
      </c>
      <c r="F1512" s="2" t="inlineStr">
        <is>
          <t>5998312755310</t>
        </is>
      </c>
      <c r="G1512" s="4" t="inlineStr">
        <is>
          <t xml:space="preserve"> • materiál krytu: plast 
 • kovová lišta na čepeľ: nie 
 • náhradné čepele v rukoväti: nie 
 • automatická výmena čepele: nie 
 • automatická fixácia čepele: nie 
 • kompatibilita: SZKB 2 čepeľ 
 • príslušenstvo: 1 ks čepele 
 • šírka čepele: 18 mm</t>
        </is>
      </c>
    </row>
    <row r="1513">
      <c r="A1513" s="3" t="inlineStr">
        <is>
          <t>SZKB 21</t>
        </is>
      </c>
      <c r="B1513" s="2" t="inlineStr">
        <is>
          <t>Náhradná čepeľ, 18 mm (SZK20,21,30,40), 10 ks</t>
        </is>
      </c>
      <c r="C1513" s="1" t="n">
        <v>1.39</v>
      </c>
      <c r="D1513" s="7" t="n">
        <f>HYPERLINK("https://www.somogyi.sk/product/nahradna-cepel-18-mm-szk20-21-30-40-10-ks-szkb-21-16572","https://www.somogyi.sk/product/nahradna-cepel-18-mm-szk20-21-30-40-10-ks-szkb-21-16572")</f>
        <v>0.0</v>
      </c>
      <c r="E1513" s="7" t="n">
        <f>HYPERLINK("https://www.somogyi.sk/data/img/product_main_images/small/16572.jpg","https://www.somogyi.sk/data/img/product_main_images/small/16572.jpg")</f>
        <v>0.0</v>
      </c>
      <c r="F1513" s="2" t="inlineStr">
        <is>
          <t>5999084946043</t>
        </is>
      </c>
      <c r="G1513" s="4" t="inlineStr">
        <is>
          <t xml:space="preserve"> • kompatibilita: k SZK 20, SZK 21, SZK 30, SZK 31 
 • šírka čepele: 18 mm</t>
        </is>
      </c>
    </row>
    <row r="1514">
      <c r="A1514" s="6" t="inlineStr">
        <is>
          <t xml:space="preserve">   Meranie, nástroje, spájkovanie / Kliešte</t>
        </is>
      </c>
      <c r="B1514" s="6" t="inlineStr">
        <is>
          <t/>
        </is>
      </c>
      <c r="C1514" s="6" t="inlineStr">
        <is>
          <t/>
        </is>
      </c>
      <c r="D1514" s="6" t="inlineStr">
        <is>
          <t/>
        </is>
      </c>
      <c r="E1514" s="6" t="inlineStr">
        <is>
          <t/>
        </is>
      </c>
      <c r="F1514" s="6" t="inlineStr">
        <is>
          <t/>
        </is>
      </c>
      <c r="G1514" s="6" t="inlineStr">
        <is>
          <t/>
        </is>
      </c>
    </row>
    <row r="1515">
      <c r="A1515" s="3" t="inlineStr">
        <is>
          <t>TW 3-6</t>
        </is>
      </c>
      <c r="B1515" s="2" t="inlineStr">
        <is>
          <t>Lisovacie kliešte, na telefónne koncovky</t>
        </is>
      </c>
      <c r="C1515" s="1" t="n">
        <v>11.79</v>
      </c>
      <c r="D1515" s="7" t="n">
        <f>HYPERLINK("https://www.somogyi.sk/product/lisovacie-klieste-na-telefonne-koncovky-tw-3-6-4718","https://www.somogyi.sk/product/lisovacie-klieste-na-telefonne-koncovky-tw-3-6-4718")</f>
        <v>0.0</v>
      </c>
      <c r="E1515" s="7" t="n">
        <f>HYPERLINK("https://www.somogyi.sk/data/img/product_main_images/small/04718.jpg","https://www.somogyi.sk/data/img/product_main_images/small/04718.jpg")</f>
        <v>0.0</v>
      </c>
      <c r="F1515" s="2" t="inlineStr">
        <is>
          <t>5998312741634</t>
        </is>
      </c>
      <c r="G1515" s="4" t="inlineStr">
        <is>
          <t xml:space="preserve"> • štípacie kliešte: nie 
 • kliešte na odizolovanie: nie 
 • lisovacie: lisovanie telefónnych koncoviek 
 • kombinované: nie 
 • špicaté: nie 
 • charakteristiky: ku koncovkám 4/4, 6/6, 8/8; dĺžky odizolovania: 6 / 12 mm; reže, odizoluje, listuje; ABS plast 
 • rozmery: 210 mm</t>
        </is>
      </c>
    </row>
    <row r="1516">
      <c r="A1516" s="3" t="inlineStr">
        <is>
          <t>6PK-230C</t>
        </is>
      </c>
      <c r="B1516" s="2" t="inlineStr">
        <is>
          <t>Lisovacie kliešte</t>
        </is>
      </c>
      <c r="C1516" s="1" t="n">
        <v>43.79</v>
      </c>
      <c r="D1516" s="7" t="n">
        <f>HYPERLINK("https://www.somogyi.sk/product/lisovacie-klieste-6pk-230c-4677","https://www.somogyi.sk/product/lisovacie-klieste-6pk-230c-4677")</f>
        <v>0.0</v>
      </c>
      <c r="E1516" s="7" t="n">
        <f>HYPERLINK("https://www.somogyi.sk/data/img/product_main_images/small/04677.jpg","https://www.somogyi.sk/data/img/product_main_images/small/04677.jpg")</f>
        <v>0.0</v>
      </c>
      <c r="F1516" s="2" t="inlineStr">
        <is>
          <t>5998312741276</t>
        </is>
      </c>
      <c r="G1516" s="4" t="inlineStr">
        <is>
          <t xml:space="preserve"> • štípacie kliešte: nie 
 • kliešte na odizolovanie: nie 
 • lisovacie: lisovanie neizolovaných káblových koncoviek 
 • kombinované: nie 
 • špicaté: nie 
 • charakteristiky: do 0,5 - 6 mm² ; s aretovým prevodom, s  automatickým blokovaním; pri chybnom lisovaní možnosť opravy;  možnosť výberu zo 6 rôznych tlakov 
 • rozmery: 220 mm</t>
        </is>
      </c>
    </row>
    <row r="1517">
      <c r="A1517" s="3" t="inlineStr">
        <is>
          <t>1PK-037S</t>
        </is>
      </c>
      <c r="B1517" s="2" t="inlineStr">
        <is>
          <t>Bočné štípacie kliešte</t>
        </is>
      </c>
      <c r="C1517" s="1" t="n">
        <v>7.69</v>
      </c>
      <c r="D1517" s="7" t="n">
        <f>HYPERLINK("https://www.somogyi.sk/product/bocne-stipacie-klieste-1pk-037s-4454","https://www.somogyi.sk/product/bocne-stipacie-klieste-1pk-037s-4454")</f>
        <v>0.0</v>
      </c>
      <c r="E1517" s="7" t="n">
        <f>HYPERLINK("https://www.somogyi.sk/data/img/product_main_images/small/04454.jpg","https://www.somogyi.sk/data/img/product_main_images/small/04454.jpg")</f>
        <v>0.0</v>
      </c>
      <c r="F1517" s="2" t="inlineStr">
        <is>
          <t>5998312739167</t>
        </is>
      </c>
      <c r="G1517" s="4" t="inlineStr">
        <is>
          <t xml:space="preserve"> • štípacie kliešte: áno 
 • kliešte na odizolovanie: nie 
 • lisovacie: nie 
 • kombinované: nie 
 • špicaté: nie 
 • charakteristiky: kalený / zosilnený hrot;  drsná rukoväť z PVC; rez:  tvrdá oceľ  0,8 mm / mäkká  oceľ 1,3 mm / meď 1,6 mm 
 • rozmery: 110 mm</t>
        </is>
      </c>
    </row>
    <row r="1518">
      <c r="A1518" s="3" t="inlineStr">
        <is>
          <t>6PK-301H</t>
        </is>
      </c>
      <c r="B1518" s="2" t="inlineStr">
        <is>
          <t>Lisovacie kliešte</t>
        </is>
      </c>
      <c r="C1518" s="1" t="n">
        <v>42.59</v>
      </c>
      <c r="D1518" s="7" t="n">
        <f>HYPERLINK("https://www.somogyi.sk/product/lisovacie-klieste-6pk-301h-4462","https://www.somogyi.sk/product/lisovacie-klieste-6pk-301h-4462")</f>
        <v>0.0</v>
      </c>
      <c r="E1518" s="7" t="n">
        <f>HYPERLINK("https://www.somogyi.sk/data/img/product_main_images/small/04462.jpg","https://www.somogyi.sk/data/img/product_main_images/small/04462.jpg")</f>
        <v>0.0</v>
      </c>
      <c r="F1518" s="2" t="inlineStr">
        <is>
          <t>5998312739242</t>
        </is>
      </c>
      <c r="G1518" s="4" t="inlineStr">
        <is>
          <t xml:space="preserve"> • štípacie kliešte: nie 
 • kliešte na odizolovanie: nie 
 • lisovacie: lisovanie izolovaných káblových koncoviek 
 • kombinované: nie 
 • špicaté: nie 
 • charakteristiky: červená: do 0,5 - 1 mm² , modrá:  do 1,5 - 2,5 mm² , žltá: do  4 - 6 mm²; s aretovým prevodom, s automatickým blokovaním ; pri chybnom lisovaní možnosť opravy;  možnosť výberu zo 6 rôznych tlakov 
 • rozmery: 220 mm</t>
        </is>
      </c>
    </row>
    <row r="1519">
      <c r="A1519" s="3" t="inlineStr">
        <is>
          <t>6PK-501</t>
        </is>
      </c>
      <c r="B1519" s="2" t="inlineStr">
        <is>
          <t>Kliešte na odizolovanie</t>
        </is>
      </c>
      <c r="C1519" s="1" t="n">
        <v>12.39</v>
      </c>
      <c r="D1519" s="7" t="n">
        <f>HYPERLINK("https://www.somogyi.sk/product/klieste-na-odizolovanie-6pk-501-17514","https://www.somogyi.sk/product/klieste-na-odizolovanie-6pk-501-17514")</f>
        <v>0.0</v>
      </c>
      <c r="E1519" s="7" t="n">
        <f>HYPERLINK("https://www.somogyi.sk/data/img/product_main_images/small/17514.jpg","https://www.somogyi.sk/data/img/product_main_images/small/17514.jpg")</f>
        <v>0.0</v>
      </c>
      <c r="F1519" s="2" t="inlineStr">
        <is>
          <t>5999084955366</t>
        </is>
      </c>
      <c r="G1519" s="4" t="inlineStr">
        <is>
          <t xml:space="preserve"> • štípacie kliešte: nie 
 • kliešte na odizolovanie: áno 
 • lisovacie: nie 
 • kombinované: nie 
 • špicaté: nie 
 • ďalšie informácie: pre vodiče s priemerom 3,2-9 mm / koaxiálny a telefónny kábel, jednožilový, viacžilový, plochý, okrúhly, UTP/FTP/STP 
 • rozmery: 112 mm</t>
        </is>
      </c>
    </row>
    <row r="1520">
      <c r="A1520" s="3" t="inlineStr">
        <is>
          <t>8PK-CT005B</t>
        </is>
      </c>
      <c r="B1520" s="2" t="inlineStr">
        <is>
          <t>Lisovacie kliešte na koncové dutinky, s dutinkami</t>
        </is>
      </c>
      <c r="C1520" s="1" t="n">
        <v>22.69</v>
      </c>
      <c r="D1520" s="7" t="n">
        <f>HYPERLINK("https://www.somogyi.sk/product/lisovacie-klieste-na-koncove-dutinky-s-dutinkami-8pk-ct005b-18290","https://www.somogyi.sk/product/lisovacie-klieste-na-koncove-dutinky-s-dutinkami-8pk-ct005b-18290")</f>
        <v>0.0</v>
      </c>
      <c r="E1520" s="7" t="n">
        <f>HYPERLINK("https://www.somogyi.sk/data/img/product_main_images/small/18290.jpg","https://www.somogyi.sk/data/img/product_main_images/small/18290.jpg")</f>
        <v>0.0</v>
      </c>
      <c r="F1520" s="2" t="inlineStr">
        <is>
          <t>5999084963125</t>
        </is>
      </c>
      <c r="G1520" s="4" t="inlineStr">
        <is>
          <t xml:space="preserve"> • lisovanie koncových dutiniek na káble 
 • 6 rozmerov lisovania 
 • 0,25 / 0,75 / 1,0 / 1,5 / 2,0 / 2,5 mm2 
 • 200 ks koncových dutiniek je príslušenstvom 
 • 40x0,25mm2 / 40x0,75mm2 / 40x1,0mm2 / 40x1,5mm2 / 40x2,5mm2  
 • dĺžka klieští: 145 mm</t>
        </is>
      </c>
    </row>
    <row r="1521">
      <c r="A1521" s="3" t="inlineStr">
        <is>
          <t>1PK-052DS</t>
        </is>
      </c>
      <c r="B1521" s="2" t="inlineStr">
        <is>
          <t>Kombinované kliešte</t>
        </is>
      </c>
      <c r="C1521" s="1" t="n">
        <v>12.19</v>
      </c>
      <c r="D1521" s="7" t="n">
        <f>HYPERLINK("https://www.somogyi.sk/product/kombinovane-klieste-1pk-052ds-16265","https://www.somogyi.sk/product/kombinovane-klieste-1pk-052ds-16265")</f>
        <v>0.0</v>
      </c>
      <c r="E1521" s="7" t="n">
        <f>HYPERLINK("https://www.somogyi.sk/data/img/product_main_images/small/16265.jpg","https://www.somogyi.sk/data/img/product_main_images/small/16265.jpg")</f>
        <v>0.0</v>
      </c>
      <c r="F1521" s="2" t="inlineStr">
        <is>
          <t>5999084942977</t>
        </is>
      </c>
      <c r="G1521" s="4" t="inlineStr">
        <is>
          <t xml:space="preserve"> • kombinované: áno 
 • charakteristiky: kalený hrot; izolovaná rukoväť; rez: tvrdá oceľ 2 mm / mäkká oceľ 2,4 mm / meď 3,2 mm 
 • rozmery: 160 mm</t>
        </is>
      </c>
    </row>
    <row r="1522">
      <c r="A1522" s="3" t="inlineStr">
        <is>
          <t>1PK-036S</t>
        </is>
      </c>
      <c r="B1522" s="2" t="inlineStr">
        <is>
          <t>Kliešte špicaté</t>
        </is>
      </c>
      <c r="C1522" s="1" t="n">
        <v>7.69</v>
      </c>
      <c r="D1522" s="7" t="n">
        <f>HYPERLINK("https://www.somogyi.sk/product/klieste-spicate-1pk-036s-4455","https://www.somogyi.sk/product/klieste-spicate-1pk-036s-4455")</f>
        <v>0.0</v>
      </c>
      <c r="E1522" s="7" t="n">
        <f>HYPERLINK("https://www.somogyi.sk/data/img/product_main_images/small/04455.jpg","https://www.somogyi.sk/data/img/product_main_images/small/04455.jpg")</f>
        <v>0.0</v>
      </c>
      <c r="F1522" s="2" t="inlineStr">
        <is>
          <t>5998312739174</t>
        </is>
      </c>
      <c r="G1522" s="4" t="inlineStr">
        <is>
          <t xml:space="preserve"> • štípacie kliešte: nie 
 • kliešte na odizolovanie: nie 
 • lisovacie: nie 
 • kombinované: nie 
 • špicaté: áno 
 • charakteristiky: kalený / zosilnený hrot; drsná rukoväť z PVC; rez:  tvrdá oceľ 0,8 mm / mäkká oceľ 1,3 mm / meď 1,6 mm 
 • rozmery: 135 mm</t>
        </is>
      </c>
    </row>
    <row r="1523">
      <c r="A1523" s="3" t="inlineStr">
        <is>
          <t>CP-342</t>
        </is>
      </c>
      <c r="B1523" s="2" t="inlineStr">
        <is>
          <t>Lisovacie kliešte, profesionálne, UTP-RJ45-8P8C</t>
        </is>
      </c>
      <c r="C1523" s="1" t="n">
        <v>60.69</v>
      </c>
      <c r="D1523" s="7" t="n">
        <f>HYPERLINK("https://www.somogyi.sk/product/lisovacie-klieste-profesionalne-utp-rj45-8p8c-cp-342-17877","https://www.somogyi.sk/product/lisovacie-klieste-profesionalne-utp-rj45-8p8c-cp-342-17877")</f>
        <v>0.0</v>
      </c>
      <c r="E1523" s="7" t="n">
        <f>HYPERLINK("https://www.somogyi.sk/data/img/product_main_images/small/17877.jpg","https://www.somogyi.sk/data/img/product_main_images/small/17877.jpg")</f>
        <v>0.0</v>
      </c>
      <c r="F1523" s="2" t="inlineStr">
        <is>
          <t>5999084958992</t>
        </is>
      </c>
      <c r="G1523" s="4" t="inlineStr">
        <is>
          <t xml:space="preserve"> • určený pre prechodové vidlice s otvorenou koncovkou (TS 51PRO)  
 • odizoluje a zároveň krimpuje a reže  
 • rýchlejšia práca, menej chýb, lepší kontakt 
 • bezpečnostná zámka pre jednoduché skladovanie 
 • precízna, zosilnená konštrukcia pohyblivej hlavy 
 • môže sa použiť aj s tradičnými vidlicami</t>
        </is>
      </c>
    </row>
    <row r="1524">
      <c r="A1524" s="3" t="inlineStr">
        <is>
          <t>PA-101</t>
        </is>
      </c>
      <c r="B1524" s="2" t="inlineStr">
        <is>
          <t>Elektrikárske kliešte</t>
        </is>
      </c>
      <c r="C1524" s="1" t="n">
        <v>9.89</v>
      </c>
      <c r="D1524" s="7" t="n">
        <f>HYPERLINK("https://www.somogyi.sk/product/elektrikarske-klieste-pa-101-11872","https://www.somogyi.sk/product/elektrikarske-klieste-pa-101-11872")</f>
        <v>0.0</v>
      </c>
      <c r="E1524" s="7" t="n">
        <f>HYPERLINK("https://www.somogyi.sk/data/img/product_main_images/small/11872.jpg","https://www.somogyi.sk/data/img/product_main_images/small/11872.jpg")</f>
        <v>0.0</v>
      </c>
      <c r="F1524" s="2" t="inlineStr">
        <is>
          <t>5999084900847</t>
        </is>
      </c>
      <c r="G1524" s="4" t="inlineStr">
        <is>
          <t xml:space="preserve"> • štípacie kliešte: áno 
 • kliešte na odizolovanie: nie 
 • lisovacie: nie 
 • kombinované: nie 
 • špicaté: nie 
 • charakteristiky: čepeľ z tvrdého kovu: 65 Mn (HRC: 52°), izolovaná rukoväť 
 • rozmery: 130 mm</t>
        </is>
      </c>
    </row>
    <row r="1525">
      <c r="A1525" s="3" t="inlineStr">
        <is>
          <t>CP-080E</t>
        </is>
      </c>
      <c r="B1525" s="2" t="inlineStr">
        <is>
          <t>Kliešte na odizolovanie</t>
        </is>
      </c>
      <c r="C1525" s="1" t="n">
        <v>14.09</v>
      </c>
      <c r="D1525" s="7" t="n">
        <f>HYPERLINK("https://www.somogyi.sk/product/klieste-na-odizolovanie-cp-080e-11873","https://www.somogyi.sk/product/klieste-na-odizolovanie-cp-080e-11873")</f>
        <v>0.0</v>
      </c>
      <c r="E1525" s="7" t="n">
        <f>HYPERLINK("https://www.somogyi.sk/data/img/product_main_images/small/11873.jpg","https://www.somogyi.sk/data/img/product_main_images/small/11873.jpg")</f>
        <v>0.0</v>
      </c>
      <c r="F1525" s="2" t="inlineStr">
        <is>
          <t>5999084900854</t>
        </is>
      </c>
      <c r="G1525" s="4" t="inlineStr">
        <is>
          <t xml:space="preserve"> • štípacie kliešte: áno 
 • kliešte na odizolovanie: nie 
 • lisovacie: nie 
 • kombinované: nie 
 • špicaté: nie 
 • charakteristiky: odizolovanie:  do 0,2 - 6 mm²; nastaviteľná dĺžka odizolovania; reže, odizoluje 
 • rozmery: 172 mm</t>
        </is>
      </c>
    </row>
    <row r="1526">
      <c r="A1526" s="3" t="inlineStr">
        <is>
          <t>6PK-230PA</t>
        </is>
      </c>
      <c r="B1526" s="2" t="inlineStr">
        <is>
          <t>Krimpovacie kliešte, pre koaxiálny kábel</t>
        </is>
      </c>
      <c r="C1526" s="1" t="n">
        <v>45.39</v>
      </c>
      <c r="D1526" s="7" t="n">
        <f>HYPERLINK("https://www.somogyi.sk/product/krimpovacie-klieste-pre-koaxialny-kabel-6pk-230pa-4463","https://www.somogyi.sk/product/krimpovacie-klieste-pre-koaxialny-kabel-6pk-230pa-4463")</f>
        <v>0.0</v>
      </c>
      <c r="E1526" s="7" t="n">
        <f>HYPERLINK("https://www.somogyi.sk/data/img/product_main_images/small/04463.jpg","https://www.somogyi.sk/data/img/product_main_images/small/04463.jpg")</f>
        <v>0.0</v>
      </c>
      <c r="F1526" s="2" t="inlineStr">
        <is>
          <t>5998312739259</t>
        </is>
      </c>
      <c r="G1526" s="4" t="inlineStr">
        <is>
          <t xml:space="preserve"> • štípacie kliešte: nie 
 • kliešte na odizolovanie: nie 
 • lisovacie: lisovanie koaxiálnych koncoviek 
 • kombinované: nie 
 • špicaté: nie 
 • charakteristiky: k 5 rôznym rozmerom: 1,73 / 2,49 / 5,41 / 6,48 / 8,15 mm; rozmery koaxiálneho kábla: RG 55 / 58 / 59 / 5 / 6;  s aretovým prevodom, s automatickým blokovaním; pri chybnom lisovaní možnosť opravy ; možnosť výberu zo 6 rôznych tlakov 
 • rozmery: 230 mm</t>
        </is>
      </c>
    </row>
    <row r="1527">
      <c r="A1527" s="3" t="inlineStr">
        <is>
          <t>1PK-067DS</t>
        </is>
      </c>
      <c r="B1527" s="2" t="inlineStr">
        <is>
          <t>Štípacie kliešte bočné</t>
        </is>
      </c>
      <c r="C1527" s="1" t="n">
        <v>10.69</v>
      </c>
      <c r="D1527" s="7" t="n">
        <f>HYPERLINK("https://www.somogyi.sk/product/stipacie-klieste-bocne-1pk-067ds-16266","https://www.somogyi.sk/product/stipacie-klieste-bocne-1pk-067ds-16266")</f>
        <v>0.0</v>
      </c>
      <c r="E1527" s="7" t="n">
        <f>HYPERLINK("https://www.somogyi.sk/data/img/product_main_images/small/16266.jpg","https://www.somogyi.sk/data/img/product_main_images/small/16266.jpg")</f>
        <v>0.0</v>
      </c>
      <c r="F1527" s="2" t="inlineStr">
        <is>
          <t>5999084942984</t>
        </is>
      </c>
      <c r="G1527" s="4" t="inlineStr">
        <is>
          <t xml:space="preserve"> • štípacie kliešte: áno 
 • charakteristiky: kalený hrot; izolovaná rukoväť; rez: tvrdá oceľ 2 mm / mäkká oceľ 2,4 mm / meď 3,2 mm 
 • rozmery: 168 mm</t>
        </is>
      </c>
    </row>
    <row r="1528">
      <c r="A1528" s="3" t="inlineStr">
        <is>
          <t>HT 109</t>
        </is>
      </c>
      <c r="B1528" s="2" t="inlineStr">
        <is>
          <t>Elektrikárske štípacie kliešte</t>
        </is>
      </c>
      <c r="C1528" s="1" t="n">
        <v>6.29</v>
      </c>
      <c r="D1528" s="7" t="n">
        <f>HYPERLINK("https://www.somogyi.sk/product/elektrikarske-stipacie-klieste-ht-109-1795","https://www.somogyi.sk/product/elektrikarske-stipacie-klieste-ht-109-1795")</f>
        <v>0.0</v>
      </c>
      <c r="E1528" s="7" t="n">
        <f>HYPERLINK("https://www.somogyi.sk/data/img/product_main_images/small/01795.jpg","https://www.somogyi.sk/data/img/product_main_images/small/01795.jpg")</f>
        <v>0.0</v>
      </c>
      <c r="F1528" s="2" t="inlineStr">
        <is>
          <t>5998312702635</t>
        </is>
      </c>
      <c r="G1528" s="4" t="inlineStr">
        <is>
          <t xml:space="preserve"> • štípacie kliešte: áno 
 • kliešte na odizolovanie: nie 
 • lisovacie: nie 
 • kombinované: nie 
 • špicaté: nie 
 • charakteristiky: - 
 • rozmery: 130 mm</t>
        </is>
      </c>
    </row>
    <row r="1529">
      <c r="A1529" s="3" t="inlineStr">
        <is>
          <t>TW 4-6</t>
        </is>
      </c>
      <c r="B1529" s="2" t="inlineStr">
        <is>
          <t>Lisovacie kliešte, na telefónne koncovky</t>
        </is>
      </c>
      <c r="C1529" s="1" t="n">
        <v>16.49</v>
      </c>
      <c r="D1529" s="7" t="n">
        <f>HYPERLINK("https://www.somogyi.sk/product/lisovacie-klieste-na-telefonne-koncovky-tw-4-6-10418","https://www.somogyi.sk/product/lisovacie-klieste-na-telefonne-koncovky-tw-4-6-10418")</f>
        <v>0.0</v>
      </c>
      <c r="E1529" s="7" t="n">
        <f>HYPERLINK("https://www.somogyi.sk/data/img/product_main_images/small/10418.jpg","https://www.somogyi.sk/data/img/product_main_images/small/10418.jpg")</f>
        <v>0.0</v>
      </c>
      <c r="F1529" s="2" t="inlineStr">
        <is>
          <t>5998312789841</t>
        </is>
      </c>
      <c r="G1529" s="4" t="inlineStr">
        <is>
          <t xml:space="preserve"> • štípacie kliešte: nie 
 • kliešte na odizolovanie: nie 
 • lisovacie: lisovanie telefónnych koncoviek 
 • kombinované: nie 
 • špicaté: nie 
 • charakteristiky: ku koncovkám 4/4, 6/6, 8/8; dĺžky odizolovania: 6 / 12 mm; reže, odizoluje, lisuje; kov 
 • rozmery: 210 mm</t>
        </is>
      </c>
    </row>
    <row r="1530">
      <c r="A1530" s="3" t="inlineStr">
        <is>
          <t>8PK-371D</t>
        </is>
      </c>
      <c r="B1530" s="2" t="inlineStr">
        <is>
          <t>Kliešte na odizolovanie a lisovanie</t>
        </is>
      </c>
      <c r="C1530" s="1" t="n">
        <v>30.99</v>
      </c>
      <c r="D1530" s="7" t="n">
        <f>HYPERLINK("https://www.somogyi.sk/product/klieste-na-odizolovanie-a-lisovanie-8pk-371d-4464","https://www.somogyi.sk/product/klieste-na-odizolovanie-a-lisovanie-8pk-371d-4464")</f>
        <v>0.0</v>
      </c>
      <c r="E1530" s="7" t="n">
        <f>HYPERLINK("https://www.somogyi.sk/data/img/product_main_images/small/04464.jpg","https://www.somogyi.sk/data/img/product_main_images/small/04464.jpg")</f>
        <v>0.0</v>
      </c>
      <c r="F1530" s="2" t="inlineStr">
        <is>
          <t>5998312739266</t>
        </is>
      </c>
      <c r="G1530" s="4" t="inlineStr">
        <is>
          <t xml:space="preserve"> • štípacie kliešte: nie 
 • kliešte na odizolovanie: áno 
 • lisovacie: nie 
 • kombinované: nie 
 • špicaté: nie 
 • charakteristiky: k izolovaným / neizolovaným očkám: do 0,5 - 6 mm²; odizolovanie: do 0,2 - 6 mm²; fixná dĺžka odizolovania; 
 • rozmery: 210 mm</t>
        </is>
      </c>
    </row>
    <row r="1531">
      <c r="A1531" s="3" t="inlineStr">
        <is>
          <t>8PK-313B</t>
        </is>
      </c>
      <c r="B1531" s="2" t="inlineStr">
        <is>
          <t>Kliešte na káblové oká</t>
        </is>
      </c>
      <c r="C1531" s="1" t="n">
        <v>14.19</v>
      </c>
      <c r="D1531" s="7" t="n">
        <f>HYPERLINK("https://www.somogyi.sk/product/klieste-na-kablove-oka-8pk-313b-4465","https://www.somogyi.sk/product/klieste-na-kablove-oka-8pk-313b-4465")</f>
        <v>0.0</v>
      </c>
      <c r="E1531" s="7" t="n">
        <f>HYPERLINK("https://www.somogyi.sk/data/img/product_main_images/small/04465.jpg","https://www.somogyi.sk/data/img/product_main_images/small/04465.jpg")</f>
        <v>0.0</v>
      </c>
      <c r="F1531" s="2" t="inlineStr">
        <is>
          <t>5998312739273</t>
        </is>
      </c>
      <c r="G1531" s="4" t="inlineStr">
        <is>
          <t xml:space="preserve"> • štípacie kliešte: nie 
 • kliešte na odizolovanie: nie 
 • lisovacie: nie 
 • kombinované: nie 
 • špicaté: nie 
 • ďalšie informácie: univerzálne 
 • charakteristiky: izolované: červené: do 1 mm², modré:  do 2,5 mm² , žlté: do 6 mm²; neizolované: do 1,5 / 2,5 / 6 mm²; odizolovanie: do 0,75 - 6 mm²; skracovanie skrutiek: M2,6 / M3 / M3,5 / M4 / M5 
 • rozmery: 230 mm</t>
        </is>
      </c>
    </row>
    <row r="1532">
      <c r="A1532" s="3" t="inlineStr">
        <is>
          <t>EVHF6</t>
        </is>
      </c>
      <c r="B1532" s="2" t="inlineStr">
        <is>
          <t>Lisovacie kliešte na dutinky, samonastavovacie</t>
        </is>
      </c>
      <c r="C1532" s="1" t="n">
        <v>19.69</v>
      </c>
      <c r="D1532" s="7" t="n">
        <f>HYPERLINK("https://www.somogyi.sk/product/lisovacie-klieste-na-dutinky-samonastavovacie-evhf6-18713","https://www.somogyi.sk/product/lisovacie-klieste-na-dutinky-samonastavovacie-evhf6-18713")</f>
        <v>0.0</v>
      </c>
      <c r="E1532" s="7" t="n">
        <f>HYPERLINK("https://www.somogyi.sk/data/img/product_main_images/small/18713.jpg","https://www.somogyi.sk/data/img/product_main_images/small/18713.jpg")</f>
        <v>0.0</v>
      </c>
      <c r="F1532" s="2" t="inlineStr">
        <is>
          <t>5999084967314</t>
        </is>
      </c>
      <c r="G1532" s="4" t="inlineStr">
        <is>
          <t xml:space="preserve"> • charakteristiky: šesťhranné lisovanie od 0,25 do 6 mm²; račňový prevod s automatickým uzamykaním; odnímateľná západka 
 • rozmery: 175 mm</t>
        </is>
      </c>
    </row>
    <row r="1533">
      <c r="A1533" s="6" t="inlineStr">
        <is>
          <t xml:space="preserve">   Meranie, nástroje, spájkovanie / Sada skrutkovačov a náradia</t>
        </is>
      </c>
      <c r="B1533" s="6" t="inlineStr">
        <is>
          <t/>
        </is>
      </c>
      <c r="C1533" s="6" t="inlineStr">
        <is>
          <t/>
        </is>
      </c>
      <c r="D1533" s="6" t="inlineStr">
        <is>
          <t/>
        </is>
      </c>
      <c r="E1533" s="6" t="inlineStr">
        <is>
          <t/>
        </is>
      </c>
      <c r="F1533" s="6" t="inlineStr">
        <is>
          <t/>
        </is>
      </c>
      <c r="G1533" s="6" t="inlineStr">
        <is>
          <t/>
        </is>
      </c>
    </row>
    <row r="1534">
      <c r="A1534" s="3" t="inlineStr">
        <is>
          <t>HW-229B</t>
        </is>
      </c>
      <c r="B1534" s="2" t="inlineStr">
        <is>
          <t>Sada imbusových kľúčov, 9 ks</t>
        </is>
      </c>
      <c r="C1534" s="1" t="n">
        <v>12.49</v>
      </c>
      <c r="D1534" s="7" t="n">
        <f>HYPERLINK("https://www.somogyi.sk/product/sada-imbusovych-klucov-9-ks-hw-229b-11878","https://www.somogyi.sk/product/sada-imbusovych-klucov-9-ks-hw-229b-11878")</f>
        <v>0.0</v>
      </c>
      <c r="E1534" s="7" t="n">
        <f>HYPERLINK("https://www.somogyi.sk/data/img/product_main_images/small/11878.jpg","https://www.somogyi.sk/data/img/product_main_images/small/11878.jpg")</f>
        <v>0.0</v>
      </c>
      <c r="F1534" s="2" t="inlineStr">
        <is>
          <t>5999084900908</t>
        </is>
      </c>
      <c r="G1534" s="4" t="inlineStr">
        <is>
          <t xml:space="preserve"> • šesťhranná guľatá hlava: 1,5; 2; 2,5; 3; 4; 5; 6; 8; 10 
 • ostatné príslušenstvo: puzdro 
 • ďalšie informácie: dlhá rúčka, materiál: Cr-V</t>
        </is>
      </c>
    </row>
    <row r="1535">
      <c r="A1535" s="3" t="inlineStr">
        <is>
          <t>CSH 1</t>
        </is>
      </c>
      <c r="B1535" s="2" t="inlineStr">
        <is>
          <t>Sada skrutkovačov pre mechanikov, 6 ks</t>
        </is>
      </c>
      <c r="C1535" s="1" t="n">
        <v>2.89</v>
      </c>
      <c r="D1535" s="7" t="n">
        <f>HYPERLINK("https://www.somogyi.sk/product/sada-skrutkovacov-pre-mechanikov-6-ks-csh-1-2060","https://www.somogyi.sk/product/sada-skrutkovacov-pre-mechanikov-6-ks-csh-1-2060")</f>
        <v>0.0</v>
      </c>
      <c r="E1535" s="7" t="n">
        <f>HYPERLINK("https://www.somogyi.sk/data/img/product_main_images/small/02060.jpg","https://www.somogyi.sk/data/img/product_main_images/small/02060.jpg")</f>
        <v>0.0</v>
      </c>
      <c r="F1535" s="2" t="inlineStr">
        <is>
          <t>5998312722879</t>
        </is>
      </c>
      <c r="G1535" s="4" t="inlineStr">
        <is>
          <t xml:space="preserve"> • plochá: 1,4; 2; 2,4; 3 
 • phillips: PH0, PH1 
 • ostatné príslušenstvo: puzdro 
 • ďalšie informácie: kovová</t>
        </is>
      </c>
    </row>
    <row r="1536">
      <c r="A1536" s="3" t="inlineStr">
        <is>
          <t>8PK-8100</t>
        </is>
      </c>
      <c r="B1536" s="2" t="inlineStr">
        <is>
          <t>Sada skrutkovačov s izolovanou rukoväťou, 1000V, 7 ks</t>
        </is>
      </c>
      <c r="C1536" s="1" t="n">
        <v>24.39</v>
      </c>
      <c r="D1536" s="7" t="n">
        <f>HYPERLINK("https://www.somogyi.sk/product/sada-skrutkovacov-s-izolovanou-rukovatou-1000v-7-ks-8pk-8100-4488","https://www.somogyi.sk/product/sada-skrutkovacov-s-izolovanou-rukovatou-1000v-7-ks-8pk-8100-4488")</f>
        <v>0.0</v>
      </c>
      <c r="E1536" s="7" t="n">
        <f>HYPERLINK("https://www.somogyi.sk/data/img/product_main_images/small/04488.jpg","https://www.somogyi.sk/data/img/product_main_images/small/04488.jpg")</f>
        <v>0.0</v>
      </c>
      <c r="F1536" s="2" t="inlineStr">
        <is>
          <t>5998312739501</t>
        </is>
      </c>
      <c r="G1536" s="4" t="inlineStr">
        <is>
          <t xml:space="preserve"> • plochá: 2,5; 4; 5,5; 6,5 
 • phillips: PH0, PH1, PH2 
 • izolovaná do 1000 V: áno 
 • ďalšie informácie: materiál: Cr-V, zmagnetizovaná hlavica</t>
        </is>
      </c>
    </row>
    <row r="1537">
      <c r="A1537" s="3" t="inlineStr">
        <is>
          <t>DE 418679</t>
        </is>
      </c>
      <c r="B1537" s="2" t="inlineStr">
        <is>
          <t>Sada náradia, 24 ks</t>
        </is>
      </c>
      <c r="C1537" s="1" t="n">
        <v>21.19</v>
      </c>
      <c r="D1537" s="7" t="n">
        <f>HYPERLINK("https://www.somogyi.sk/product/sada-naradia-24-ks-de-418679-18164","https://www.somogyi.sk/product/sada-naradia-24-ks-de-418679-18164")</f>
        <v>0.0</v>
      </c>
      <c r="E1537" s="7" t="n">
        <f>HYPERLINK("https://www.somogyi.sk/data/img/product_main_images/small/18164.jpg","https://www.somogyi.sk/data/img/product_main_images/small/18164.jpg")</f>
        <v>0.0</v>
      </c>
      <c r="F1537" s="2" t="inlineStr">
        <is>
          <t>5999084961862</t>
        </is>
      </c>
      <c r="G1537" s="4" t="inlineStr">
        <is>
          <t xml:space="preserve"> • teplotný rozsah použitia: pre bežné použitie v domácnosti 
 • N/A: 20 bitové hlavy, podľa 4 typov štandardov (5 torx, 5 phillips, 5 plochých, 5 šesťhranných) 
 • N/A: kombinované kliešte, 165 mm 
 • N/A: nastaviteľný kľúč, 150 mm / 20 mm 
 • rozmery: 280 x 45 x 185 mm 
 • hmotnosť: 1,2 kg 
 • ďalšie informácie: plastová krabica</t>
        </is>
      </c>
    </row>
    <row r="1538">
      <c r="A1538" s="6" t="inlineStr">
        <is>
          <t xml:space="preserve">   Meranie, nástroje, spájkovanie / Lupa, stojan na zachytenie plošných spojov</t>
        </is>
      </c>
      <c r="B1538" s="6" t="inlineStr">
        <is>
          <t/>
        </is>
      </c>
      <c r="C1538" s="6" t="inlineStr">
        <is>
          <t/>
        </is>
      </c>
      <c r="D1538" s="6" t="inlineStr">
        <is>
          <t/>
        </is>
      </c>
      <c r="E1538" s="6" t="inlineStr">
        <is>
          <t/>
        </is>
      </c>
      <c r="F1538" s="6" t="inlineStr">
        <is>
          <t/>
        </is>
      </c>
      <c r="G1538" s="6" t="inlineStr">
        <is>
          <t/>
        </is>
      </c>
    </row>
    <row r="1539">
      <c r="A1539" s="3" t="inlineStr">
        <is>
          <t>MA-019</t>
        </is>
      </c>
      <c r="B1539" s="2" t="inlineStr">
        <is>
          <t>Ručná lupa, s osvetlením</t>
        </is>
      </c>
      <c r="C1539" s="1" t="n">
        <v>15.69</v>
      </c>
      <c r="D1539" s="7" t="n">
        <f>HYPERLINK("https://www.somogyi.sk/product/rucna-lupa-s-osvetlenim-ma-019-11871","https://www.somogyi.sk/product/rucna-lupa-s-osvetlenim-ma-019-11871")</f>
        <v>0.0</v>
      </c>
      <c r="E1539" s="7" t="n">
        <f>HYPERLINK("https://www.somogyi.sk/data/img/product_main_images/small/11871.jpg","https://www.somogyi.sk/data/img/product_main_images/small/11871.jpg")</f>
        <v>0.0</v>
      </c>
      <c r="F1539" s="2" t="inlineStr">
        <is>
          <t>5999084900830</t>
        </is>
      </c>
      <c r="G1539" s="4" t="inlineStr">
        <is>
          <t xml:space="preserve"> • miera zväčšenia: 3x (8 dioptrií) 
 • priemer šošovky: Ø56 mm 
 • materiál šošovky: kvalitné sklo 
 • snímač na kontrolu bankoviek: 1 ks UV LED 
 • osvetlenie: 8 ks LED 
 • napájanie: 3 x AAA  batéria (nie je príslušenstvo)</t>
        </is>
      </c>
    </row>
    <row r="1540">
      <c r="A1540" s="3" t="inlineStr">
        <is>
          <t>MA-016</t>
        </is>
      </c>
      <c r="B1540" s="2" t="inlineStr">
        <is>
          <t>Lupa na čelo s osvetlením</t>
        </is>
      </c>
      <c r="C1540" s="1" t="n">
        <v>24.69</v>
      </c>
      <c r="D1540" s="7" t="n">
        <f>HYPERLINK("https://www.somogyi.sk/product/lupa-na-celo-s-osvetlenim-ma-016-18442","https://www.somogyi.sk/product/lupa-na-celo-s-osvetlenim-ma-016-18442")</f>
        <v>0.0</v>
      </c>
      <c r="E1540" s="7" t="n">
        <f>HYPERLINK("https://www.somogyi.sk/data/img/product_main_images/small/18442.jpg","https://www.somogyi.sk/data/img/product_main_images/small/18442.jpg")</f>
        <v>0.0</v>
      </c>
      <c r="F1540" s="2" t="inlineStr">
        <is>
          <t>4710810394577</t>
        </is>
      </c>
      <c r="G1540" s="4" t="inlineStr">
        <is>
          <t xml:space="preserve"> • miera zväčšenia: x 1,8 / x 2,6 / x 5,8 
 • charakteristiky: základná šošovka   sklopná dvojitá šošovka   otočná šošovka • 3 druhy zväčšenia je možné dosiahnuť kombináciou šošoviek • povrchová úprava šošovky proti poškriabaniu • LED svietidlo s možnosťou nakláňania hore a dolu a do strán • LED svietidlo je odnímateľné a možno ho použiť aj ako ručný zdroj svetla 
 • osvetlenie: 2 ks LED 
 • napájanie: 2 x AAA batéria</t>
        </is>
      </c>
    </row>
    <row r="1541">
      <c r="A1541" s="6" t="inlineStr">
        <is>
          <t xml:space="preserve">   Meranie, nástroje, spájkovanie / Pinzeta</t>
        </is>
      </c>
      <c r="B1541" s="6" t="inlineStr">
        <is>
          <t/>
        </is>
      </c>
      <c r="C1541" s="6" t="inlineStr">
        <is>
          <t/>
        </is>
      </c>
      <c r="D1541" s="6" t="inlineStr">
        <is>
          <t/>
        </is>
      </c>
      <c r="E1541" s="6" t="inlineStr">
        <is>
          <t/>
        </is>
      </c>
      <c r="F1541" s="6" t="inlineStr">
        <is>
          <t/>
        </is>
      </c>
      <c r="G1541" s="6" t="inlineStr">
        <is>
          <t/>
        </is>
      </c>
    </row>
    <row r="1542">
      <c r="A1542" s="3" t="inlineStr">
        <is>
          <t>908-T301</t>
        </is>
      </c>
      <c r="B1542" s="2" t="inlineStr">
        <is>
          <t xml:space="preserve">Pár pinziet pre elektrotechnikov </t>
        </is>
      </c>
      <c r="C1542" s="1" t="n">
        <v>5.19</v>
      </c>
      <c r="D1542" s="7" t="n">
        <f>HYPERLINK("https://www.somogyi.sk/product/par-pinziet-pre-elektrotechnikov-908-t301-4757","https://www.somogyi.sk/product/par-pinziet-pre-elektrotechnikov-908-t301-4757")</f>
        <v>0.0</v>
      </c>
      <c r="E1542" s="7" t="n">
        <f>HYPERLINK("https://www.somogyi.sk/data/img/product_main_images/small/04757.jpg","https://www.somogyi.sk/data/img/product_main_images/small/04757.jpg")</f>
        <v>0.0</v>
      </c>
      <c r="F1542" s="2" t="inlineStr">
        <is>
          <t>5998312742006</t>
        </is>
      </c>
      <c r="G1542" s="4" t="inlineStr">
        <is>
          <t xml:space="preserve"> • dĺžka: 150 mm 
 • úchytná plocha: drážkovaná</t>
        </is>
      </c>
    </row>
    <row r="1543">
      <c r="A1543" s="6" t="inlineStr">
        <is>
          <t xml:space="preserve">   Meranie, nástroje, spájkovanie / Káblová sťahovacia páska, káblová príchytka</t>
        </is>
      </c>
      <c r="B1543" s="6" t="inlineStr">
        <is>
          <t/>
        </is>
      </c>
      <c r="C1543" s="6" t="inlineStr">
        <is>
          <t/>
        </is>
      </c>
      <c r="D1543" s="6" t="inlineStr">
        <is>
          <t/>
        </is>
      </c>
      <c r="E1543" s="6" t="inlineStr">
        <is>
          <t/>
        </is>
      </c>
      <c r="F1543" s="6" t="inlineStr">
        <is>
          <t/>
        </is>
      </c>
      <c r="G1543" s="6" t="inlineStr">
        <is>
          <t/>
        </is>
      </c>
    </row>
    <row r="1544">
      <c r="A1544" s="3" t="inlineStr">
        <is>
          <t>CT 150/3,5/B</t>
        </is>
      </c>
      <c r="B1544" s="2" t="inlineStr">
        <is>
          <t>Káblová sťahovacia páska, 150x3,5mm, čierna</t>
        </is>
      </c>
      <c r="C1544" s="1" t="n">
        <v>1.79</v>
      </c>
      <c r="D1544" s="7" t="n">
        <f>HYPERLINK("https://www.somogyi.sk/product/kablova-stahovacia-paska-150x3-5mm-cierna-ct-150-3-5-b-13094","https://www.somogyi.sk/product/kablova-stahovacia-paska-150x3-5mm-cierna-ct-150-3-5-b-13094")</f>
        <v>0.0</v>
      </c>
      <c r="E1544" s="7" t="n">
        <f>HYPERLINK("https://www.somogyi.sk/data/img/product_main_images/small/13094.jpg","https://www.somogyi.sk/data/img/product_main_images/small/13094.jpg")</f>
        <v>0.0</v>
      </c>
      <c r="F1544" s="2" t="inlineStr">
        <is>
          <t>5999084912758</t>
        </is>
      </c>
      <c r="G1544" s="4" t="inlineStr">
        <is>
          <t xml:space="preserve"> • dĺžka: 150 mm 
 • šírka: 3,5 mm 
 • farba: čierna 
 • balenie: 50 ks / balenie</t>
        </is>
      </c>
    </row>
    <row r="1545">
      <c r="A1545" s="3" t="inlineStr">
        <is>
          <t>CHR 7</t>
        </is>
      </c>
      <c r="B1545" s="2" t="inlineStr">
        <is>
          <t>Káblová príchytka s klincom, 7mm</t>
        </is>
      </c>
      <c r="C1545" s="1" t="n">
        <v>1.29</v>
      </c>
      <c r="D1545" s="7" t="n">
        <f>HYPERLINK("https://www.somogyi.sk/product/kablova-prichytka-s-klincom-7mm-chr-7-4131","https://www.somogyi.sk/product/kablova-prichytka-s-klincom-7mm-chr-7-4131")</f>
        <v>0.0</v>
      </c>
      <c r="E1545" s="7" t="n">
        <f>HYPERLINK("https://www.somogyi.sk/data/img/product_main_images/small/04131.jpg","https://www.somogyi.sk/data/img/product_main_images/small/04131.jpg")</f>
        <v>0.0</v>
      </c>
      <c r="F1545" s="2" t="inlineStr">
        <is>
          <t>5998312736784</t>
        </is>
      </c>
      <c r="G1545" s="4" t="inlineStr">
        <is>
          <t xml:space="preserve"> • priemer kábla: Ø7 mm 
 • balenie: 50 ks / balenie</t>
        </is>
      </c>
    </row>
    <row r="1546">
      <c r="A1546" s="3" t="inlineStr">
        <is>
          <t>CT 300/4,8/B</t>
        </is>
      </c>
      <c r="B1546" s="2" t="inlineStr">
        <is>
          <t>Káblová sťahovacia páska, 300 x 4,8 mm, čierna</t>
        </is>
      </c>
      <c r="C1546" s="1" t="n">
        <v>2.29</v>
      </c>
      <c r="D1546" s="7" t="n">
        <f>HYPERLINK("https://www.somogyi.sk/product/kablova-stahovacia-paska-300-x-4-8-mm-cierna-ct-300-4-8-b-13098","https://www.somogyi.sk/product/kablova-stahovacia-paska-300-x-4-8-mm-cierna-ct-300-4-8-b-13098")</f>
        <v>0.0</v>
      </c>
      <c r="E1546" s="7" t="n">
        <f>HYPERLINK("https://www.somogyi.sk/data/img/product_main_images/small/13098.jpg","https://www.somogyi.sk/data/img/product_main_images/small/13098.jpg")</f>
        <v>0.0</v>
      </c>
      <c r="F1546" s="2" t="inlineStr">
        <is>
          <t>5999084912796</t>
        </is>
      </c>
      <c r="G1546" s="4" t="inlineStr">
        <is>
          <t xml:space="preserve"> • dĺžka: 300 mm 
 • šírka: 4,8 mm 
 • farba: čierna 
 • balenie: 25 ks / balenie</t>
        </is>
      </c>
    </row>
    <row r="1547">
      <c r="A1547" s="3" t="inlineStr">
        <is>
          <t>CHR 8</t>
        </is>
      </c>
      <c r="B1547" s="2" t="inlineStr">
        <is>
          <t>Káblová príchytka s klincom, 8mm</t>
        </is>
      </c>
      <c r="C1547" s="1" t="n">
        <v>1.49</v>
      </c>
      <c r="D1547" s="7" t="n">
        <f>HYPERLINK("https://www.somogyi.sk/product/kablova-prichytka-s-klincom-8mm-chr-8-4143","https://www.somogyi.sk/product/kablova-prichytka-s-klincom-8mm-chr-8-4143")</f>
        <v>0.0</v>
      </c>
      <c r="E1547" s="7" t="n">
        <f>HYPERLINK("https://www.somogyi.sk/data/img/product_main_images/small/04143.jpg","https://www.somogyi.sk/data/img/product_main_images/small/04143.jpg")</f>
        <v>0.0</v>
      </c>
      <c r="F1547" s="2" t="inlineStr">
        <is>
          <t>5998312737088</t>
        </is>
      </c>
      <c r="G1547" s="4" t="inlineStr">
        <is>
          <t xml:space="preserve"> • priemer kábla: Ø8 mm 
 • balenie: 50 ks / balenie</t>
        </is>
      </c>
    </row>
    <row r="1548">
      <c r="A1548" s="3" t="inlineStr">
        <is>
          <t>CT 100/2,5</t>
        </is>
      </c>
      <c r="B1548" s="2" t="inlineStr">
        <is>
          <t>Káblová sťahovacia páska,  100 x 2,5 mm</t>
        </is>
      </c>
      <c r="C1548" s="1" t="n">
        <v>0.99</v>
      </c>
      <c r="D1548" s="7" t="n">
        <f>HYPERLINK("https://www.somogyi.sk/product/kablova-stahovacia-paska-100-x-2-5-mm-ct-100-2-5-13083","https://www.somogyi.sk/product/kablova-stahovacia-paska-100-x-2-5-mm-ct-100-2-5-13083")</f>
        <v>0.0</v>
      </c>
      <c r="E1548" s="7" t="n">
        <f>HYPERLINK("https://www.somogyi.sk/data/img/product_main_images/small/13083.jpg","https://www.somogyi.sk/data/img/product_main_images/small/13083.jpg")</f>
        <v>0.0</v>
      </c>
      <c r="F1548" s="2" t="inlineStr">
        <is>
          <t>5999084912642</t>
        </is>
      </c>
      <c r="G1548" s="4" t="inlineStr">
        <is>
          <t xml:space="preserve"> • dĺžka: 100 mm 
 • šírka: 2,5 mm 
 • farba: transparentná 
 • balenie: 50 ks / balenie</t>
        </is>
      </c>
    </row>
    <row r="1549">
      <c r="A1549" s="3" t="inlineStr">
        <is>
          <t>CT 400/4,8/B</t>
        </is>
      </c>
      <c r="B1549" s="2" t="inlineStr">
        <is>
          <t>Káblová sťahovacia páska, 400x4,8mm, čierna</t>
        </is>
      </c>
      <c r="C1549" s="1" t="n">
        <v>3.29</v>
      </c>
      <c r="D1549" s="7" t="n">
        <f>HYPERLINK("https://www.somogyi.sk/product/kablova-stahovacia-paska-400x4-8mm-cierna-ct-400-4-8-b-13099","https://www.somogyi.sk/product/kablova-stahovacia-paska-400x4-8mm-cierna-ct-400-4-8-b-13099")</f>
        <v>0.0</v>
      </c>
      <c r="E1549" s="7" t="n">
        <f>HYPERLINK("https://www.somogyi.sk/data/img/product_main_images/small/13099.jpg","https://www.somogyi.sk/data/img/product_main_images/small/13099.jpg")</f>
        <v>0.0</v>
      </c>
      <c r="F1549" s="2" t="inlineStr">
        <is>
          <t>5999084912802</t>
        </is>
      </c>
      <c r="G1549" s="4" t="inlineStr">
        <is>
          <t xml:space="preserve"> • dĺžka: 400 mm 
 • šírka: 4,8 mm 
 • farba: čierna 
 • balenie: 25 ks / balenie</t>
        </is>
      </c>
    </row>
    <row r="1550">
      <c r="A1550" s="3" t="inlineStr">
        <is>
          <t>CT 250/4,8</t>
        </is>
      </c>
      <c r="B1550" s="2" t="inlineStr">
        <is>
          <t>Káblová sťahovacia páska, 250 x 4,8 mm</t>
        </is>
      </c>
      <c r="C1550" s="1" t="n">
        <v>1.99</v>
      </c>
      <c r="D1550" s="7" t="n">
        <f>HYPERLINK("https://www.somogyi.sk/product/kablova-stahovacia-paska-250-x-4-8-mm-ct-250-4-8-13088","https://www.somogyi.sk/product/kablova-stahovacia-paska-250-x-4-8-mm-ct-250-4-8-13088")</f>
        <v>0.0</v>
      </c>
      <c r="E1550" s="7" t="n">
        <f>HYPERLINK("https://www.somogyi.sk/data/img/product_main_images/small/13088.jpg","https://www.somogyi.sk/data/img/product_main_images/small/13088.jpg")</f>
        <v>0.0</v>
      </c>
      <c r="F1550" s="2" t="inlineStr">
        <is>
          <t>5999084912697</t>
        </is>
      </c>
      <c r="G1550" s="4" t="inlineStr">
        <is>
          <t xml:space="preserve"> • dĺžka: 250 mm 
 • šírka: 4,8 mm 
 • farba: transparentná 
 • balenie: 25 ks / balenie</t>
        </is>
      </c>
    </row>
    <row r="1551">
      <c r="A1551" s="3" t="inlineStr">
        <is>
          <t>CHR 6</t>
        </is>
      </c>
      <c r="B1551" s="2" t="inlineStr">
        <is>
          <t>Káblová príchytka s klincom, 6mm</t>
        </is>
      </c>
      <c r="C1551" s="1" t="n">
        <v>1.19</v>
      </c>
      <c r="D1551" s="7" t="n">
        <f>HYPERLINK("https://www.somogyi.sk/product/kablova-prichytka-s-klincom-6mm-chr-6-4130","https://www.somogyi.sk/product/kablova-prichytka-s-klincom-6mm-chr-6-4130")</f>
        <v>0.0</v>
      </c>
      <c r="E1551" s="7" t="n">
        <f>HYPERLINK("https://www.somogyi.sk/data/img/product_main_images/small/04130.jpg","https://www.somogyi.sk/data/img/product_main_images/small/04130.jpg")</f>
        <v>0.0</v>
      </c>
      <c r="F1551" s="2" t="inlineStr">
        <is>
          <t>5998312736777</t>
        </is>
      </c>
      <c r="G1551" s="4" t="inlineStr">
        <is>
          <t xml:space="preserve"> • priemer kábla: Ø6 mm 
 • balenie: 50 ks / balenie</t>
        </is>
      </c>
    </row>
    <row r="1552">
      <c r="A1552" s="3" t="inlineStr">
        <is>
          <t>CT 250/4,8/B</t>
        </is>
      </c>
      <c r="B1552" s="2" t="inlineStr">
        <is>
          <t>Káblová sťahovacia páska, 250 x 4,8 mm, čierna</t>
        </is>
      </c>
      <c r="C1552" s="1" t="n">
        <v>1.99</v>
      </c>
      <c r="D1552" s="7" t="n">
        <f>HYPERLINK("https://www.somogyi.sk/product/kablova-stahovacia-paska-250-x-4-8-mm-cierna-ct-250-4-8-b-13096","https://www.somogyi.sk/product/kablova-stahovacia-paska-250-x-4-8-mm-cierna-ct-250-4-8-b-13096")</f>
        <v>0.0</v>
      </c>
      <c r="E1552" s="7" t="n">
        <f>HYPERLINK("https://www.somogyi.sk/data/img/product_main_images/small/13096.jpg","https://www.somogyi.sk/data/img/product_main_images/small/13096.jpg")</f>
        <v>0.0</v>
      </c>
      <c r="F1552" s="2" t="inlineStr">
        <is>
          <t>5999084912772</t>
        </is>
      </c>
      <c r="G1552" s="4" t="inlineStr">
        <is>
          <t xml:space="preserve"> • dĺžka: 250 mm 
 • šírka: 4,8 mm 
 • farba: čierna 
 • balenie: 25 ks / balenie</t>
        </is>
      </c>
    </row>
    <row r="1553">
      <c r="A1553" s="3" t="inlineStr">
        <is>
          <t>CT 200/3,5/B</t>
        </is>
      </c>
      <c r="B1553" s="2" t="inlineStr">
        <is>
          <t>Káblová sťahovacia páska, 200 x 3,5 mm, čierna</t>
        </is>
      </c>
      <c r="C1553" s="1" t="n">
        <v>2.29</v>
      </c>
      <c r="D1553" s="7" t="n">
        <f>HYPERLINK("https://www.somogyi.sk/product/kablova-stahovacia-paska-200-x-3-5-mm-cierna-ct-200-3-5-b-13095","https://www.somogyi.sk/product/kablova-stahovacia-paska-200-x-3-5-mm-cierna-ct-200-3-5-b-13095")</f>
        <v>0.0</v>
      </c>
      <c r="E1553" s="7" t="n">
        <f>HYPERLINK("https://www.somogyi.sk/data/img/product_main_images/small/13095.jpg","https://www.somogyi.sk/data/img/product_main_images/small/13095.jpg")</f>
        <v>0.0</v>
      </c>
      <c r="F1553" s="2" t="inlineStr">
        <is>
          <t>5999084912765</t>
        </is>
      </c>
      <c r="G1553" s="4" t="inlineStr">
        <is>
          <t xml:space="preserve"> • dĺžka: 200 mm 
 • šírka: 3,5 mm 
 • farba: čierna 
 • balenie: 50 ks / balenie</t>
        </is>
      </c>
    </row>
    <row r="1554">
      <c r="A1554" s="3" t="inlineStr">
        <is>
          <t>CTT 28BK</t>
        </is>
      </c>
      <c r="B1554" s="2" t="inlineStr">
        <is>
          <t>Držiak sťahovacieho pásika, čierna</t>
        </is>
      </c>
      <c r="C1554" s="1" t="n">
        <v>5.59</v>
      </c>
      <c r="D1554" s="7" t="n">
        <f>HYPERLINK("https://www.somogyi.sk/product/drziak-stahovacieho-pasika-cierna-ctt-28bk-16634","https://www.somogyi.sk/product/drziak-stahovacieho-pasika-cierna-ctt-28bk-16634")</f>
        <v>0.0</v>
      </c>
      <c r="E1554" s="7" t="n">
        <f>HYPERLINK("https://www.somogyi.sk/data/img/product_main_images/small/16634.jpg","https://www.somogyi.sk/data/img/product_main_images/small/16634.jpg")</f>
        <v>0.0</v>
      </c>
      <c r="F1554" s="2" t="inlineStr">
        <is>
          <t>5999084946661</t>
        </is>
      </c>
      <c r="G1554" s="4" t="inlineStr">
        <is>
          <t xml:space="preserve"> • dĺžka: 28 mm 
 • šírka: 28 mm 
 • farba: čierna farba 
 • balenie: 50 ks / balenie</t>
        </is>
      </c>
    </row>
    <row r="1555">
      <c r="A1555" s="3" t="inlineStr">
        <is>
          <t>CT 200/3,5</t>
        </is>
      </c>
      <c r="B1555" s="2" t="inlineStr">
        <is>
          <t>Káblová sťahovacia páska, 200x3,5mm</t>
        </is>
      </c>
      <c r="C1555" s="1" t="n">
        <v>2.29</v>
      </c>
      <c r="D1555" s="7" t="n">
        <f>HYPERLINK("https://www.somogyi.sk/product/kablova-stahovacia-paska-200x3-5mm-ct-200-3-5-13087","https://www.somogyi.sk/product/kablova-stahovacia-paska-200x3-5mm-ct-200-3-5-13087")</f>
        <v>0.0</v>
      </c>
      <c r="E1555" s="7" t="n">
        <f>HYPERLINK("https://www.somogyi.sk/data/img/product_main_images/small/13087.jpg","https://www.somogyi.sk/data/img/product_main_images/small/13087.jpg")</f>
        <v>0.0</v>
      </c>
      <c r="F1555" s="2" t="inlineStr">
        <is>
          <t>5999084912680</t>
        </is>
      </c>
      <c r="G1555" s="4" t="inlineStr">
        <is>
          <t xml:space="preserve"> • dĺžka: 200 mm 
 • šírka: 3,5 mm 
 • farba: transparentná 
 • balenie: 50 ks / balenie</t>
        </is>
      </c>
    </row>
    <row r="1556">
      <c r="A1556" s="3" t="inlineStr">
        <is>
          <t>CT 150/3,5</t>
        </is>
      </c>
      <c r="B1556" s="2" t="inlineStr">
        <is>
          <t>Káblová sťahovacia páska, 150x3,5mm</t>
        </is>
      </c>
      <c r="C1556" s="1" t="n">
        <v>1.79</v>
      </c>
      <c r="D1556" s="7" t="n">
        <f>HYPERLINK("https://www.somogyi.sk/product/kablova-stahovacia-paska-150x3-5mm-ct-150-3-5-13086","https://www.somogyi.sk/product/kablova-stahovacia-paska-150x3-5mm-ct-150-3-5-13086")</f>
        <v>0.0</v>
      </c>
      <c r="E1556" s="7" t="n">
        <f>HYPERLINK("https://www.somogyi.sk/data/img/product_main_images/small/13086.jpg","https://www.somogyi.sk/data/img/product_main_images/small/13086.jpg")</f>
        <v>0.0</v>
      </c>
      <c r="F1556" s="2" t="inlineStr">
        <is>
          <t>5999084912673</t>
        </is>
      </c>
      <c r="G1556" s="4" t="inlineStr">
        <is>
          <t xml:space="preserve"> • dĺžka: 150 mm 
 • šírka: 3,5 mm 
 • farba: transparentná 
 • balenie: 50 ks / balenie</t>
        </is>
      </c>
    </row>
    <row r="1557">
      <c r="A1557" s="3" t="inlineStr">
        <is>
          <t>CT SET</t>
        </is>
      </c>
      <c r="B1557" s="2" t="inlineStr">
        <is>
          <t>Sada káblových sťahovacích pások, 100 ks</t>
        </is>
      </c>
      <c r="C1557" s="1" t="n">
        <v>3.29</v>
      </c>
      <c r="D1557" s="7" t="n">
        <f>HYPERLINK("https://www.somogyi.sk/product/sada-kablovych-stahovacich-pasok-100-ks-ct-set-15421","https://www.somogyi.sk/product/sada-kablovych-stahovacich-pasok-100-ks-ct-set-15421")</f>
        <v>0.0</v>
      </c>
      <c r="E1557" s="7" t="n">
        <f>HYPERLINK("https://www.somogyi.sk/data/img/product_main_images/small/15421.jpg","https://www.somogyi.sk/data/img/product_main_images/small/15421.jpg")</f>
        <v>0.0</v>
      </c>
      <c r="F1557" s="2" t="inlineStr">
        <is>
          <t>5999084934552</t>
        </is>
      </c>
      <c r="G1557" s="4" t="inlineStr">
        <is>
          <t xml:space="preserve"> • dĺžka: 100 / 150 / 200 / 250 
 • šírka: 1,9 / 2,0 / 2,5 / 3,6 
 • farba: čierna / zelená / žltá / červená 
 • balenie: 4 x 25 ks</t>
        </is>
      </c>
    </row>
    <row r="1558">
      <c r="A1558" s="3" t="inlineStr">
        <is>
          <t>CT 300/4,8</t>
        </is>
      </c>
      <c r="B1558" s="2" t="inlineStr">
        <is>
          <t>Káblová sťahovacia páska, 300x4,8mm</t>
        </is>
      </c>
      <c r="C1558" s="1" t="n">
        <v>2.29</v>
      </c>
      <c r="D1558" s="7" t="n">
        <f>HYPERLINK("https://www.somogyi.sk/product/kablova-stahovacia-paska-300x4-8mm-ct-300-4-8-13089","https://www.somogyi.sk/product/kablova-stahovacia-paska-300x4-8mm-ct-300-4-8-13089")</f>
        <v>0.0</v>
      </c>
      <c r="E1558" s="7" t="n">
        <f>HYPERLINK("https://www.somogyi.sk/data/img/product_main_images/small/13089.jpg","https://www.somogyi.sk/data/img/product_main_images/small/13089.jpg")</f>
        <v>0.0</v>
      </c>
      <c r="F1558" s="2" t="inlineStr">
        <is>
          <t>5999084912703</t>
        </is>
      </c>
      <c r="G1558" s="4" t="inlineStr">
        <is>
          <t xml:space="preserve"> • dĺžka: 300 mm 
 • šírka: 4,8 mm 
 • farba: transparentná 
 • balenie: 25 ks / balenie</t>
        </is>
      </c>
    </row>
    <row r="1559">
      <c r="A1559" s="3" t="inlineStr">
        <is>
          <t>CT 100/2,5/B</t>
        </is>
      </c>
      <c r="B1559" s="2" t="inlineStr">
        <is>
          <t>Káblová sťahovacia páska,  100 x 2,5 mm, čierna</t>
        </is>
      </c>
      <c r="C1559" s="1" t="n">
        <v>0.99</v>
      </c>
      <c r="D1559" s="7" t="n">
        <f>HYPERLINK("https://www.somogyi.sk/product/kablova-stahovacia-paska-100-x-2-5-mm-cierna-ct-100-2-5-b-13092","https://www.somogyi.sk/product/kablova-stahovacia-paska-100-x-2-5-mm-cierna-ct-100-2-5-b-13092")</f>
        <v>0.0</v>
      </c>
      <c r="E1559" s="7" t="n">
        <f>HYPERLINK("https://www.somogyi.sk/data/img/product_main_images/small/13092.jpg","https://www.somogyi.sk/data/img/product_main_images/small/13092.jpg")</f>
        <v>0.0</v>
      </c>
      <c r="F1559" s="2" t="inlineStr">
        <is>
          <t>5999084912734</t>
        </is>
      </c>
      <c r="G1559" s="4" t="inlineStr">
        <is>
          <t xml:space="preserve"> • dĺžka: 100 mm 
 • šírka: 2,5 mm 
 • farba: čierna 
 • balenie: 50 ks / balenie</t>
        </is>
      </c>
    </row>
    <row r="1560">
      <c r="A1560" s="3" t="inlineStr">
        <is>
          <t>CHR 5</t>
        </is>
      </c>
      <c r="B1560" s="2" t="inlineStr">
        <is>
          <t>Káblová príchytka s klincom, 5mm</t>
        </is>
      </c>
      <c r="C1560" s="1" t="n">
        <v>1.09</v>
      </c>
      <c r="D1560" s="7" t="n">
        <f>HYPERLINK("https://www.somogyi.sk/product/kablova-prichytka-s-klincom-5mm-chr-5-4129","https://www.somogyi.sk/product/kablova-prichytka-s-klincom-5mm-chr-5-4129")</f>
        <v>0.0</v>
      </c>
      <c r="E1560" s="7" t="n">
        <f>HYPERLINK("https://www.somogyi.sk/data/img/product_main_images/small/04129.jpg","https://www.somogyi.sk/data/img/product_main_images/small/04129.jpg")</f>
        <v>0.0</v>
      </c>
      <c r="F1560" s="2" t="inlineStr">
        <is>
          <t>5998312736760</t>
        </is>
      </c>
      <c r="G1560" s="4" t="inlineStr">
        <is>
          <t xml:space="preserve"> • priemer kábla: Ø5 mm 
 • balenie: 50 ks / balenie</t>
        </is>
      </c>
    </row>
    <row r="1561">
      <c r="A1561" s="3" t="inlineStr">
        <is>
          <t>CT 400/4,8</t>
        </is>
      </c>
      <c r="B1561" s="2" t="inlineStr">
        <is>
          <t>Káblová sťahovacia páska, 400x4,8mm</t>
        </is>
      </c>
      <c r="C1561" s="1" t="n">
        <v>3.29</v>
      </c>
      <c r="D1561" s="7" t="n">
        <f>HYPERLINK("https://www.somogyi.sk/product/kablova-stahovacia-paska-400x4-8mm-ct-400-4-8-13090","https://www.somogyi.sk/product/kablova-stahovacia-paska-400x4-8mm-ct-400-4-8-13090")</f>
        <v>0.0</v>
      </c>
      <c r="E1561" s="7" t="n">
        <f>HYPERLINK("https://www.somogyi.sk/data/img/product_main_images/small/13090.jpg","https://www.somogyi.sk/data/img/product_main_images/small/13090.jpg")</f>
        <v>0.0</v>
      </c>
      <c r="F1561" s="2" t="inlineStr">
        <is>
          <t>5999084912710</t>
        </is>
      </c>
      <c r="G1561" s="4" t="inlineStr">
        <is>
          <t xml:space="preserve"> • dĺžka: 400 mm 
 • šírka: 4,8 mm 
 • farba: transparentná 
 • balenie: 25 ks / balenie</t>
        </is>
      </c>
    </row>
    <row r="1562">
      <c r="A1562" s="6" t="inlineStr">
        <is>
          <t xml:space="preserve">   Meranie, nástroje, spájkovanie / Zmršťovacia trubička</t>
        </is>
      </c>
      <c r="B1562" s="6" t="inlineStr">
        <is>
          <t/>
        </is>
      </c>
      <c r="C1562" s="6" t="inlineStr">
        <is>
          <t/>
        </is>
      </c>
      <c r="D1562" s="6" t="inlineStr">
        <is>
          <t/>
        </is>
      </c>
      <c r="E1562" s="6" t="inlineStr">
        <is>
          <t/>
        </is>
      </c>
      <c r="F1562" s="6" t="inlineStr">
        <is>
          <t/>
        </is>
      </c>
      <c r="G1562" s="6" t="inlineStr">
        <is>
          <t/>
        </is>
      </c>
    </row>
    <row r="1563">
      <c r="A1563" s="3" t="inlineStr">
        <is>
          <t>DRS 4-2/BK</t>
        </is>
      </c>
      <c r="B1563" s="2" t="inlineStr">
        <is>
          <t>Zmršťovacia trubička, 4/2mm, čierna, 1m</t>
        </is>
      </c>
      <c r="C1563" s="1" t="n">
        <v>1.19</v>
      </c>
      <c r="D1563" s="7" t="n">
        <f>HYPERLINK("https://www.somogyi.sk/product/zmrstovacia-trubicka-4-2mm-cierna-1m-drs-4-2-bk-4973","https://www.somogyi.sk/product/zmrstovacia-trubicka-4-2mm-cierna-1m-drs-4-2-bk-4973")</f>
        <v>0.0</v>
      </c>
      <c r="E1563" s="7" t="n">
        <f>HYPERLINK("https://www.somogyi.sk/data/img/product_main_images/small/04973.jpg","https://www.somogyi.sk/data/img/product_main_images/small/04973.jpg")</f>
        <v>0.0</v>
      </c>
      <c r="F1563" s="2" t="inlineStr">
        <is>
          <t>5998312743959</t>
        </is>
      </c>
      <c r="G1563" s="4" t="inlineStr">
        <is>
          <t xml:space="preserve"> • dĺžka: 1 m 
 • priemer: 4 mm 
 • priemer po zmrštení: 2 mm 
 • farba: čierna 
 • teplota zmrštenia: 125°C (90 - 125°C) 
 • teplotný rozsah použitia: -55 - 125°C 
 • ťah: ≥ 12 Mpa 
 • trh: ≥ 200 % 
 • zmena dĺžky: ≤ 5 % 
 • izolačná odolnosť: ≥ 20 kV / mm 
 • odolnosť proti ohňu: podľa VW - 1 
 • odolnosť proti UV žiareniu: prevedenie odolné proti UV žiareniu</t>
        </is>
      </c>
    </row>
    <row r="1564">
      <c r="A1564" s="3" t="inlineStr">
        <is>
          <t>DRS 4-2/WH</t>
        </is>
      </c>
      <c r="B1564" s="2" t="inlineStr">
        <is>
          <t>Zmršťovacia trubička, 4/2 mm, biela, 1 m</t>
        </is>
      </c>
      <c r="C1564" s="1" t="n">
        <v>1.19</v>
      </c>
      <c r="D1564" s="7" t="n">
        <f>HYPERLINK("https://www.somogyi.sk/product/zmrstovacia-trubicka-4-2-mm-biela-1-m-drs-4-2-wh-4969","https://www.somogyi.sk/product/zmrstovacia-trubicka-4-2-mm-biela-1-m-drs-4-2-wh-4969")</f>
        <v>0.0</v>
      </c>
      <c r="E1564" s="7" t="n">
        <f>HYPERLINK("https://www.somogyi.sk/data/img/product_main_images/small/04969.jpg","https://www.somogyi.sk/data/img/product_main_images/small/04969.jpg")</f>
        <v>0.0</v>
      </c>
      <c r="F1564" s="2" t="inlineStr">
        <is>
          <t>5998312743911</t>
        </is>
      </c>
      <c r="G1564" s="4" t="inlineStr">
        <is>
          <t xml:space="preserve"> • dĺžka: 1 m 
 • priemer: 4 mm 
 • priemer po zmrštení: 2 mm 
 • farba: biela 
 • teplota zmrštenia: 125°C (90 - 125°C) 
 • teplotný rozsah použitia: -55 - 125°C 
 • ťah: ≥ 12 Mpa 
 • trh: ≥ 200 % 
 • zmena dĺžky: ≤ 5 % 
 • izolačná odolnosť: ≥ 20 kV / mm 
 • odolnosť proti ohňu: podľa VW - 1 
 • odolnosť proti UV žiareniu: prevedenie odolné proti UV žiareniu</t>
        </is>
      </c>
    </row>
    <row r="1565">
      <c r="A1565" s="3" t="inlineStr">
        <is>
          <t>DRS 10-5/BK</t>
        </is>
      </c>
      <c r="B1565" s="2" t="inlineStr">
        <is>
          <t>Zmršťovacia trubička, 10/5 mm, čierna, 1 m</t>
        </is>
      </c>
      <c r="C1565" s="1" t="n">
        <v>1.99</v>
      </c>
      <c r="D1565" s="7" t="n">
        <f>HYPERLINK("https://www.somogyi.sk/product/zmrstovacia-trubicka-10-5-mm-cierna-1-m-drs-10-5-bk-4980","https://www.somogyi.sk/product/zmrstovacia-trubicka-10-5-mm-cierna-1-m-drs-10-5-bk-4980")</f>
        <v>0.0</v>
      </c>
      <c r="E1565" s="7" t="n">
        <f>HYPERLINK("https://www.somogyi.sk/data/img/product_main_images/small/04980.jpg","https://www.somogyi.sk/data/img/product_main_images/small/04980.jpg")</f>
        <v>0.0</v>
      </c>
      <c r="F1565" s="2" t="inlineStr">
        <is>
          <t>5998312744024</t>
        </is>
      </c>
      <c r="G1565" s="4" t="inlineStr">
        <is>
          <t xml:space="preserve"> • dĺžka: 1 m 
 • priemer: 10 mm 
 • priemer po zmrštení: 5 mm 
 • farba: čierna 
 • teplota zmrštenia: 125°C (90 - 125°C) 
 • teplotný rozsah použitia: -55 - 125°C 
 • ťah: ≥ 12 Mpa 
 • trh: ≥ 200 % 
 • zmena dĺžky: ≤ 5 % 
 • izolačná odolnosť: ≥ 20 kV / mm 
 • odolnosť proti ohňu: podľa VW - 1 
 • odolnosť proti UV žiareniu: prevedenie odolné proti UV žiareniu</t>
        </is>
      </c>
    </row>
    <row r="1566">
      <c r="A1566" s="3" t="inlineStr">
        <is>
          <t>DRS 2-1/BK</t>
        </is>
      </c>
      <c r="B1566" s="2" t="inlineStr">
        <is>
          <t>Zmršťovacia trubička, 2/1 mm, čierna, 1m</t>
        </is>
      </c>
      <c r="C1566" s="1" t="n">
        <v>0.79</v>
      </c>
      <c r="D1566" s="7" t="n">
        <f>HYPERLINK("https://www.somogyi.sk/product/zmrstovacia-trubicka-2-1-mm-cierna-1m-drs-2-1-bk-4965","https://www.somogyi.sk/product/zmrstovacia-trubicka-2-1-mm-cierna-1m-drs-2-1-bk-4965")</f>
        <v>0.0</v>
      </c>
      <c r="E1566" s="7" t="n">
        <f>HYPERLINK("https://www.somogyi.sk/data/img/product_main_images/small/04965.jpg","https://www.somogyi.sk/data/img/product_main_images/small/04965.jpg")</f>
        <v>0.0</v>
      </c>
      <c r="F1566" s="2" t="inlineStr">
        <is>
          <t>5998312743874</t>
        </is>
      </c>
      <c r="G1566" s="4" t="inlineStr">
        <is>
          <t xml:space="preserve"> • dĺžka: 1 m 
 • priemer: 2 mm 
 • priemer po zmrštení: 1 mm 
 • farba: čierna 
 • teplota zmrštenia: 125°C (90 - 125°C) 
 • teplotný rozsah použitia: -55 - 125°C 
 • ťah: ≥ 12 Mpa 
 • trh: ≥ 200 % 
 • zmena dĺžky: ≤ 5 % 
 • izolačná odolnosť: ≥ 20 kV / mm 
 • odolnosť proti ohňu: podľa VW - 1 
 • odolnosť proti UV žiareniu: prevedenie odolné proti UV žiareniu</t>
        </is>
      </c>
    </row>
    <row r="1567">
      <c r="A1567" s="3" t="inlineStr">
        <is>
          <t>DRS 6-3/WH</t>
        </is>
      </c>
      <c r="B1567" s="2" t="inlineStr">
        <is>
          <t>Zmršťovacia trubička, 6/3mm, biela, 1 m</t>
        </is>
      </c>
      <c r="C1567" s="1" t="n">
        <v>1.59</v>
      </c>
      <c r="D1567" s="7" t="n">
        <f>HYPERLINK("https://www.somogyi.sk/product/zmrstovacia-trubicka-6-3mm-biela-1-m-drs-6-3-wh-4975","https://www.somogyi.sk/product/zmrstovacia-trubicka-6-3mm-biela-1-m-drs-6-3-wh-4975")</f>
        <v>0.0</v>
      </c>
      <c r="E1567" s="7" t="n">
        <f>HYPERLINK("https://www.somogyi.sk/data/img/product_main_images/small/04975.jpg","https://www.somogyi.sk/data/img/product_main_images/small/04975.jpg")</f>
        <v>0.0</v>
      </c>
      <c r="F1567" s="2" t="inlineStr">
        <is>
          <t>5998312743973</t>
        </is>
      </c>
      <c r="G1567" s="4" t="inlineStr">
        <is>
          <t xml:space="preserve"> • dĺžka: 1 m 
 • priemer: 6 mm 
 • priemer po zmrštení: 3 mm 
 • farba: biela 
 • teplota zmrštenia: 125°C (90 - 125°C) 
 • teplotný rozsah použitia: -55 - 125°C 
 • ťah: ≥ 12 Mpa 
 • trh: ≥ 200 % 
 • zmena dĺžky: ≤ 5 % 
 • izolačná odolnosť: ≥ 20 kV / mm 
 • odolnosť proti ohňu: podľa VW - 1 
 • odolnosť proti UV žiareniu: prevedenie odolné proti UV žiareniu</t>
        </is>
      </c>
    </row>
    <row r="1568">
      <c r="A1568" s="3" t="inlineStr">
        <is>
          <t>DRS 4-2/RD</t>
        </is>
      </c>
      <c r="B1568" s="2" t="inlineStr">
        <is>
          <t>Zmršťovacia trubička, 4/2 mm, červená, 1m</t>
        </is>
      </c>
      <c r="C1568" s="1" t="n">
        <v>1.19</v>
      </c>
      <c r="D1568" s="7" t="n">
        <f>HYPERLINK("https://www.somogyi.sk/product/zmrstovacia-trubicka-4-2-mm-cervena-1m-drs-4-2-rd-4971","https://www.somogyi.sk/product/zmrstovacia-trubicka-4-2-mm-cervena-1m-drs-4-2-rd-4971")</f>
        <v>0.0</v>
      </c>
      <c r="E1568" s="7" t="n">
        <f>HYPERLINK("https://www.somogyi.sk/data/img/product_main_images/small/04971.jpg","https://www.somogyi.sk/data/img/product_main_images/small/04971.jpg")</f>
        <v>0.0</v>
      </c>
      <c r="F1568" s="2" t="inlineStr">
        <is>
          <t>5998312743935</t>
        </is>
      </c>
      <c r="G1568" s="4" t="inlineStr">
        <is>
          <t xml:space="preserve"> • dĺžka: 1 m 
 • priemer: 4 mm 
 • priemer po zmrštení: 2 mm 
 • farba: červená 
 • teplota zmrštenia: 125°C (90 - 125°C) 
 • teplotný rozsah použitia: -55 - 125°C 
 • ťah: ≥ 12 Mpa 
 • trh: ≥ 200 % 
 • zmena dĺžky: ≤ 5 % 
 • izolačná odolnosť: ≥ 20 kV / mm 
 • odolnosť proti ohňu: podľa VW - 1 
 • odolnosť proti UV žiareniu: prevedenie odolné proti UV žiareniu</t>
        </is>
      </c>
    </row>
    <row r="1569">
      <c r="A1569" s="3" t="inlineStr">
        <is>
          <t>DRS 6-3/BK</t>
        </is>
      </c>
      <c r="B1569" s="2" t="inlineStr">
        <is>
          <t>Zmršťovacia trubička, 6/3 mm, čierna, 1 m</t>
        </is>
      </c>
      <c r="C1569" s="1" t="n">
        <v>1.59</v>
      </c>
      <c r="D1569" s="7" t="n">
        <f>HYPERLINK("https://www.somogyi.sk/product/zmrstovacia-trubicka-6-3-mm-cierna-1-m-drs-6-3-bk-4974","https://www.somogyi.sk/product/zmrstovacia-trubicka-6-3-mm-cierna-1-m-drs-6-3-bk-4974")</f>
        <v>0.0</v>
      </c>
      <c r="E1569" s="7" t="n">
        <f>HYPERLINK("https://www.somogyi.sk/data/img/product_main_images/small/04974.jpg","https://www.somogyi.sk/data/img/product_main_images/small/04974.jpg")</f>
        <v>0.0</v>
      </c>
      <c r="F1569" s="2" t="inlineStr">
        <is>
          <t>5998312743966</t>
        </is>
      </c>
      <c r="G1569" s="4" t="inlineStr">
        <is>
          <t xml:space="preserve"> • dĺžka: 1 m 
 • priemer: 6 mm 
 • priemer po zmrštení: 3 mm 
 • farba: čierna 
 • teplota zmrštenia: 125°C (90 - 125°C) 
 • teplotný rozsah použitia: -55 - 125°C 
 • ťah: ≥ 12 Mpa 
 • trh: ≥ 200 % 
 • zmena dĺžky: ≤ 5 % 
 • izolačná odolnosť: ≥ 20 kV / mm 
 • odolnosť proti ohňu: podľa VW - 1 
 • odolnosť proti UV žiareniu: prevedenie odolné proti UV žiareniu</t>
        </is>
      </c>
    </row>
    <row r="1570">
      <c r="A1570" s="3" t="inlineStr">
        <is>
          <t>DRS 15-7.5/BK</t>
        </is>
      </c>
      <c r="B1570" s="2" t="inlineStr">
        <is>
          <t>Zmršťovacia trubička, 15/7,5 mm, čierna, 1m</t>
        </is>
      </c>
      <c r="C1570" s="1" t="n">
        <v>2.69</v>
      </c>
      <c r="D1570" s="7" t="n">
        <f>HYPERLINK("https://www.somogyi.sk/product/zmrstovacia-trubicka-15-7-5-mm-cierna-1m-drs-15-7-5-bk-4984","https://www.somogyi.sk/product/zmrstovacia-trubicka-15-7-5-mm-cierna-1m-drs-15-7-5-bk-4984")</f>
        <v>0.0</v>
      </c>
      <c r="E1570" s="7" t="n">
        <f>HYPERLINK("https://www.somogyi.sk/data/img/product_main_images/small/04984.jpg","https://www.somogyi.sk/data/img/product_main_images/small/04984.jpg")</f>
        <v>0.0</v>
      </c>
      <c r="F1570" s="2" t="inlineStr">
        <is>
          <t>5998312744062</t>
        </is>
      </c>
      <c r="G1570" s="4" t="inlineStr">
        <is>
          <t xml:space="preserve"> • dĺžka: 1 m 
 • priemer: 15 mm 
 • priemer po zmrštení: 7,5 mm 
 • farba: čierna 
 • teplota zmrštenia: 125°C (90 - 125°C) 
 • teplotný rozsah použitia: -55 - 125°C 
 • ťah: ≥ 12 Mpa 
 • trh: ≥ 200 % 
 • zmena dĺžky: ≤ 5 % 
 • izolačná odolnosť: ≥ 20 kV / mm 
 • odolnosť proti ohňu: podľa VW - 1 
 • odolnosť proti UV žiareniu: prevedenie odolné proti UV žiareniu</t>
        </is>
      </c>
    </row>
    <row r="1571">
      <c r="A1571" s="3" t="inlineStr">
        <is>
          <t>DRS 20-10/BK</t>
        </is>
      </c>
      <c r="B1571" s="2" t="inlineStr">
        <is>
          <t>Zmršťovacia trubička, 20/10 mm, čierna, 1m</t>
        </is>
      </c>
      <c r="C1571" s="1" t="n">
        <v>3.49</v>
      </c>
      <c r="D1571" s="7" t="n">
        <f>HYPERLINK("https://www.somogyi.sk/product/zmrstovacia-trubicka-20-10-mm-cierna-1m-drs-20-10-bk-4990","https://www.somogyi.sk/product/zmrstovacia-trubicka-20-10-mm-cierna-1m-drs-20-10-bk-4990")</f>
        <v>0.0</v>
      </c>
      <c r="E1571" s="7" t="n">
        <f>HYPERLINK("https://www.somogyi.sk/data/img/product_main_images/small/04990.jpg","https://www.somogyi.sk/data/img/product_main_images/small/04990.jpg")</f>
        <v>0.0</v>
      </c>
      <c r="F1571" s="2" t="inlineStr">
        <is>
          <t>5998312744123</t>
        </is>
      </c>
      <c r="G1571" s="4" t="inlineStr">
        <is>
          <t xml:space="preserve"> • dĺžka: 1 m 
 • priemer: 20 mm 
 • priemer po zmrštení: 10 mm 
 • farba: čierna 
 • teplota zmrštenia: 125°C (90 - 125°C) 
 • teplotný rozsah použitia: -55 - 125°C 
 • ťah: ≥ 12 Mpa 
 • trh: ≥ 200 % 
 • zmena dĺžky: ≤ 5 % 
 • izolačná odolnosť: ≥ 20 kV / mm 
 • odolnosť proti ohňu: podľa VW - 1 
 • odolnosť proti UV žiareniu: prevedenie odolné proti UV žiareniu</t>
        </is>
      </c>
    </row>
    <row r="1572">
      <c r="A1572" s="3" t="inlineStr">
        <is>
          <t>DRS 6-3/RD</t>
        </is>
      </c>
      <c r="B1572" s="2" t="inlineStr">
        <is>
          <t>Zmršťovacia trubička, 6/3 mm, červená, 1 m</t>
        </is>
      </c>
      <c r="C1572" s="1" t="n">
        <v>1.59</v>
      </c>
      <c r="D1572" s="7" t="n">
        <f>HYPERLINK("https://www.somogyi.sk/product/zmrstovacia-trubicka-6-3-mm-cervena-1-m-drs-6-3-rd-4977","https://www.somogyi.sk/product/zmrstovacia-trubicka-6-3-mm-cervena-1-m-drs-6-3-rd-4977")</f>
        <v>0.0</v>
      </c>
      <c r="E1572" s="7" t="n">
        <f>HYPERLINK("https://www.somogyi.sk/data/img/product_main_images/small/04977.jpg","https://www.somogyi.sk/data/img/product_main_images/small/04977.jpg")</f>
        <v>0.0</v>
      </c>
      <c r="F1572" s="2" t="inlineStr">
        <is>
          <t>5998312743997</t>
        </is>
      </c>
      <c r="G1572" s="4" t="inlineStr">
        <is>
          <t xml:space="preserve"> • dĺžka: 1 m 
 • priemer: 6 mm 
 • priemer po zmrštení: 3 mm 
 • farba: červená 
 • teplota zmrštenia: 125°C (90 - 125°C) 
 • teplotný rozsah použitia: -55 - 125°C 
 • ťah: ≥ 12 Mpa 
 • trh: ≥ 200 % 
 • zmena dĺžky: ≤ 5 % 
 • izolačná odolnosť: ≥ 20 kV / mm 
 • odolnosť proti ohňu: podľa VW - 1 
 • odolnosť proti UV žiareniu: prevedenie odolné proti UV žiareniu</t>
        </is>
      </c>
    </row>
    <row r="1573">
      <c r="A1573" s="6" t="inlineStr">
        <is>
          <t xml:space="preserve">   Meranie, nástroje, spájkovanie / Izolačná páska, lepiaca páska</t>
        </is>
      </c>
      <c r="B1573" s="6" t="inlineStr">
        <is>
          <t/>
        </is>
      </c>
      <c r="C1573" s="6" t="inlineStr">
        <is>
          <t/>
        </is>
      </c>
      <c r="D1573" s="6" t="inlineStr">
        <is>
          <t/>
        </is>
      </c>
      <c r="E1573" s="6" t="inlineStr">
        <is>
          <t/>
        </is>
      </c>
      <c r="F1573" s="6" t="inlineStr">
        <is>
          <t/>
        </is>
      </c>
      <c r="G1573" s="6" t="inlineStr">
        <is>
          <t/>
        </is>
      </c>
    </row>
    <row r="1574">
      <c r="A1574" s="3" t="inlineStr">
        <is>
          <t>RS 50</t>
        </is>
      </c>
      <c r="B1574" s="2" t="inlineStr">
        <is>
          <t>Lepiaca páska, 50 m</t>
        </is>
      </c>
      <c r="C1574" s="1" t="n">
        <v>9.19</v>
      </c>
      <c r="D1574" s="7" t="n">
        <f>HYPERLINK("https://www.somogyi.sk/product/lepiaca-paska-50-m-rs-50-5009","https://www.somogyi.sk/product/lepiaca-paska-50-m-rs-50-5009")</f>
        <v>0.0</v>
      </c>
      <c r="E1574" s="7" t="n">
        <f>HYPERLINK("https://www.somogyi.sk/data/img/product_main_images/small/05009.jpg","https://www.somogyi.sk/data/img/product_main_images/small/05009.jpg")</f>
        <v>0.0</v>
      </c>
      <c r="F1574" s="2" t="inlineStr">
        <is>
          <t>5998312744314</t>
        </is>
      </c>
      <c r="G1574" s="4" t="inlineStr">
        <is>
          <t xml:space="preserve"> • Zdôraznená charakteristika: posilnená textilom, veľmi veľká pevnosť, veľmi dobré lepiace vlastnosti 
 • dĺžka: 50 m 
 • šírka: 50 mm 
 • farba: strieborná</t>
        </is>
      </c>
    </row>
    <row r="1575">
      <c r="A1575" s="3" t="inlineStr">
        <is>
          <t>RSA 50/10</t>
        </is>
      </c>
      <c r="B1575" s="2" t="inlineStr">
        <is>
          <t>Hliníková lepiaca páska, 50mm/10 m</t>
        </is>
      </c>
      <c r="C1575" s="1" t="n">
        <v>3.69</v>
      </c>
      <c r="D1575" s="7" t="n">
        <f>HYPERLINK("https://www.somogyi.sk/product/hlinikova-lepiaca-paska-50mm-10-m-rsa-50-10-16906","https://www.somogyi.sk/product/hlinikova-lepiaca-paska-50mm-10-m-rsa-50-10-16906")</f>
        <v>0.0</v>
      </c>
      <c r="E1575" s="7" t="n">
        <f>HYPERLINK("https://www.somogyi.sk/data/img/product_main_images/small/16906.jpg","https://www.somogyi.sk/data/img/product_main_images/small/16906.jpg")</f>
        <v>0.0</v>
      </c>
      <c r="F1575" s="2" t="inlineStr">
        <is>
          <t>5999084949389</t>
        </is>
      </c>
      <c r="G1575" s="4" t="inlineStr">
        <is>
          <t xml:space="preserve"> • dĺžka: 10 m 
 • šírka: 50 mm 
 • farba: strieborná</t>
        </is>
      </c>
    </row>
    <row r="1576">
      <c r="A1576" s="3" t="inlineStr">
        <is>
          <t>SS 120</t>
        </is>
      </c>
      <c r="B1576" s="2" t="inlineStr">
        <is>
          <t>Izolačná páska, 20 m, čierna</t>
        </is>
      </c>
      <c r="C1576" s="1" t="n">
        <v>1.29</v>
      </c>
      <c r="D1576" s="7" t="n">
        <f>HYPERLINK("https://www.somogyi.sk/product/izolacna-paska-20-m-cierna-ss-120-3093","https://www.somogyi.sk/product/izolacna-paska-20-m-cierna-ss-120-3093")</f>
        <v>0.0</v>
      </c>
      <c r="E1576" s="7" t="n">
        <f>HYPERLINK("https://www.somogyi.sk/data/img/product_main_images/small/03093.jpg","https://www.somogyi.sk/data/img/product_main_images/small/03093.jpg")</f>
        <v>0.0</v>
      </c>
      <c r="F1576" s="2" t="inlineStr">
        <is>
          <t>5998312734179</t>
        </is>
      </c>
      <c r="G1576" s="4" t="inlineStr">
        <is>
          <t xml:space="preserve"> • Zdôraznená charakteristika: nie 
 • dĺžka: 20 m 
 • šírka: 19 mm 
 • farba: čierna</t>
        </is>
      </c>
    </row>
    <row r="1577">
      <c r="A1577" s="3" t="inlineStr">
        <is>
          <t>RS 50/10</t>
        </is>
      </c>
      <c r="B1577" s="2" t="inlineStr">
        <is>
          <t>Lepiaca páska, 10 m</t>
        </is>
      </c>
      <c r="C1577" s="1" t="n">
        <v>2.89</v>
      </c>
      <c r="D1577" s="7" t="n">
        <f>HYPERLINK("https://www.somogyi.sk/product/lepiaca-paska-10-m-rs-50-10-11811","https://www.somogyi.sk/product/lepiaca-paska-10-m-rs-50-10-11811")</f>
        <v>0.0</v>
      </c>
      <c r="E1577" s="7" t="n">
        <f>HYPERLINK("https://www.somogyi.sk/data/img/product_main_images/small/11811.jpg","https://www.somogyi.sk/data/img/product_main_images/small/11811.jpg")</f>
        <v>0.0</v>
      </c>
      <c r="F1577" s="2" t="inlineStr">
        <is>
          <t>5999084900236</t>
        </is>
      </c>
      <c r="G1577" s="4" t="inlineStr">
        <is>
          <t xml:space="preserve"> • Zdôraznená charakteristika: posilnená textilom, veľmi veľká pevnosť, veľmi dobré lepiace vlastnosti 
 • dĺžka: 10 m 
 • šírka: 50 mm 
 • farba: strieborná</t>
        </is>
      </c>
    </row>
    <row r="1578">
      <c r="A1578" s="3" t="inlineStr">
        <is>
          <t>SS 520</t>
        </is>
      </c>
      <c r="B1578" s="2" t="inlineStr">
        <is>
          <t>Izolačná páska, 20 m, biela</t>
        </is>
      </c>
      <c r="C1578" s="1" t="n">
        <v>1.29</v>
      </c>
      <c r="D1578" s="7" t="n">
        <f>HYPERLINK("https://www.somogyi.sk/product/izolacna-paska-20-m-biela-ss-520-3097","https://www.somogyi.sk/product/izolacna-paska-20-m-biela-ss-520-3097")</f>
        <v>0.0</v>
      </c>
      <c r="E1578" s="7" t="n">
        <f>HYPERLINK("https://www.somogyi.sk/data/img/product_main_images/small/03097.jpg","https://www.somogyi.sk/data/img/product_main_images/small/03097.jpg")</f>
        <v>0.0</v>
      </c>
      <c r="F1578" s="2" t="inlineStr">
        <is>
          <t>5998312734216</t>
        </is>
      </c>
      <c r="G1578" s="4" t="inlineStr">
        <is>
          <t xml:space="preserve"> • Zdôraznená charakteristika: nie 
 • dĺžka: 20 m 
 • šírka: 19 mm 
 • farba: biela</t>
        </is>
      </c>
    </row>
    <row r="1579">
      <c r="A1579" s="3" t="inlineStr">
        <is>
          <t>SS 920</t>
        </is>
      </c>
      <c r="B1579" s="2" t="inlineStr">
        <is>
          <t xml:space="preserve">Izolačná páska, 20 m, zeleno/žltá </t>
        </is>
      </c>
      <c r="C1579" s="1" t="n">
        <v>1.49</v>
      </c>
      <c r="D1579" s="7" t="n">
        <f>HYPERLINK("https://www.somogyi.sk/product/izolacna-paska-20-m-zeleno-zlta-ss-920-3091","https://www.somogyi.sk/product/izolacna-paska-20-m-zeleno-zlta-ss-920-3091")</f>
        <v>0.0</v>
      </c>
      <c r="E1579" s="7" t="n">
        <f>HYPERLINK("https://www.somogyi.sk/data/img/product_main_images/small/03091.jpg","https://www.somogyi.sk/data/img/product_main_images/small/03091.jpg")</f>
        <v>0.0</v>
      </c>
      <c r="F1579" s="2" t="inlineStr">
        <is>
          <t>5998312734155</t>
        </is>
      </c>
      <c r="G1579" s="4" t="inlineStr">
        <is>
          <t xml:space="preserve"> • Zdôraznená charakteristika: nie 
 • dĺžka: 20 m 
 • šírka: 19 mm 
 • farba: zeleno-žltá</t>
        </is>
      </c>
    </row>
    <row r="1580">
      <c r="A1580" s="3" t="inlineStr">
        <is>
          <t>SS 420</t>
        </is>
      </c>
      <c r="B1580" s="2" t="inlineStr">
        <is>
          <t>Izolačná páska, 20 m, zelená</t>
        </is>
      </c>
      <c r="C1580" s="1" t="n">
        <v>1.29</v>
      </c>
      <c r="D1580" s="7" t="n">
        <f>HYPERLINK("https://www.somogyi.sk/product/izolacna-paska-20-m-zelena-ss-420-3095","https://www.somogyi.sk/product/izolacna-paska-20-m-zelena-ss-420-3095")</f>
        <v>0.0</v>
      </c>
      <c r="E1580" s="7" t="n">
        <f>HYPERLINK("https://www.somogyi.sk/data/img/product_main_images/small/03095.jpg","https://www.somogyi.sk/data/img/product_main_images/small/03095.jpg")</f>
        <v>0.0</v>
      </c>
      <c r="F1580" s="2" t="inlineStr">
        <is>
          <t>5998312734193</t>
        </is>
      </c>
      <c r="G1580" s="4" t="inlineStr">
        <is>
          <t xml:space="preserve"> • Zdôraznená charakteristika: nie 
 • dĺžka: 20 m 
 • šírka: 19 mm 
 • farba: zelená</t>
        </is>
      </c>
    </row>
    <row r="1581">
      <c r="A1581" s="3" t="inlineStr">
        <is>
          <t>SS 320</t>
        </is>
      </c>
      <c r="B1581" s="2" t="inlineStr">
        <is>
          <t>Izolačná páska, 20 m, modrá</t>
        </is>
      </c>
      <c r="C1581" s="1" t="n">
        <v>1.29</v>
      </c>
      <c r="D1581" s="7" t="n">
        <f>HYPERLINK("https://www.somogyi.sk/product/izolacna-paska-20-m-modra-ss-320-3096","https://www.somogyi.sk/product/izolacna-paska-20-m-modra-ss-320-3096")</f>
        <v>0.0</v>
      </c>
      <c r="E1581" s="7" t="n">
        <f>HYPERLINK("https://www.somogyi.sk/data/img/product_main_images/small/03096.jpg","https://www.somogyi.sk/data/img/product_main_images/small/03096.jpg")</f>
        <v>0.0</v>
      </c>
      <c r="F1581" s="2" t="inlineStr">
        <is>
          <t>5998312734209</t>
        </is>
      </c>
      <c r="G1581" s="4" t="inlineStr">
        <is>
          <t xml:space="preserve"> • Zdôraznená charakteristika: nie 
 • dĺžka: 20 m 
 • šírka: 19 mm 
 • farba: modrá</t>
        </is>
      </c>
    </row>
    <row r="1582">
      <c r="A1582" s="3" t="inlineStr">
        <is>
          <t>RS 52/10</t>
        </is>
      </c>
      <c r="B1582" s="2" t="inlineStr">
        <is>
          <t>Obojstranná lepiaca páska, 10 m</t>
        </is>
      </c>
      <c r="C1582" s="1" t="n">
        <v>3.49</v>
      </c>
      <c r="D1582" s="7" t="n">
        <f>HYPERLINK("https://www.somogyi.sk/product/obojstranna-lepiaca-paska-10-m-rs-52-10-13757","https://www.somogyi.sk/product/obojstranna-lepiaca-paska-10-m-rs-52-10-13757")</f>
        <v>0.0</v>
      </c>
      <c r="E1582" s="7" t="n">
        <f>HYPERLINK("https://www.somogyi.sk/data/img/product_main_images/small/13757.jpg","https://www.somogyi.sk/data/img/product_main_images/small/13757.jpg")</f>
        <v>0.0</v>
      </c>
      <c r="F1582" s="2" t="inlineStr">
        <is>
          <t>8001814188870</t>
        </is>
      </c>
      <c r="G1582" s="4" t="inlineStr">
        <is>
          <t xml:space="preserve"> • Zdôraznená charakteristika: obojstranná, veľmi dobrá priľnavosť 
 • dĺžka: 10 m 
 • šírka: 50 mm 
 • farba: hnedá</t>
        </is>
      </c>
    </row>
    <row r="1583">
      <c r="A1583" s="3" t="inlineStr">
        <is>
          <t>SS 220</t>
        </is>
      </c>
      <c r="B1583" s="2" t="inlineStr">
        <is>
          <t>Izolačná páska, 20 m, červená</t>
        </is>
      </c>
      <c r="C1583" s="1" t="n">
        <v>1.29</v>
      </c>
      <c r="D1583" s="7" t="n">
        <f>HYPERLINK("https://www.somogyi.sk/product/izolacna-paska-20-m-cervena-ss-220-3092","https://www.somogyi.sk/product/izolacna-paska-20-m-cervena-ss-220-3092")</f>
        <v>0.0</v>
      </c>
      <c r="E1583" s="7" t="n">
        <f>HYPERLINK("https://www.somogyi.sk/data/img/product_main_images/small/03092.jpg","https://www.somogyi.sk/data/img/product_main_images/small/03092.jpg")</f>
        <v>0.0</v>
      </c>
      <c r="F1583" s="2" t="inlineStr">
        <is>
          <t>5998312734162</t>
        </is>
      </c>
      <c r="G1583" s="4" t="inlineStr">
        <is>
          <t xml:space="preserve"> • Zdôraznená charakteristika: nie 
 • dĺžka: 20 m 
 • šírka: 19 mm 
 • farba: červená</t>
        </is>
      </c>
    </row>
    <row r="1584">
      <c r="A1584" s="3" t="inlineStr">
        <is>
          <t>SS 510</t>
        </is>
      </c>
      <c r="B1584" s="2" t="inlineStr">
        <is>
          <t>Izolačná páska, 10 m, biela</t>
        </is>
      </c>
      <c r="C1584" s="1" t="n">
        <v>0.79</v>
      </c>
      <c r="D1584" s="7" t="n">
        <f>HYPERLINK("https://www.somogyi.sk/product/izolacna-paska-10-m-biela-ss-510-3090","https://www.somogyi.sk/product/izolacna-paska-10-m-biela-ss-510-3090")</f>
        <v>0.0</v>
      </c>
      <c r="E1584" s="7" t="n">
        <f>HYPERLINK("https://www.somogyi.sk/data/img/product_main_images/small/03090.jpg","https://www.somogyi.sk/data/img/product_main_images/small/03090.jpg")</f>
        <v>0.0</v>
      </c>
      <c r="F1584" s="2" t="inlineStr">
        <is>
          <t>5998312734148</t>
        </is>
      </c>
      <c r="G1584" s="4" t="inlineStr">
        <is>
          <t xml:space="preserve"> • Zdôraznená charakteristika: nie 
 • dĺžka: 10 m 
 • šírka: 19 mm 
 • farba: biela</t>
        </is>
      </c>
    </row>
    <row r="1585">
      <c r="A1585" s="3" t="inlineStr">
        <is>
          <t>SS 110</t>
        </is>
      </c>
      <c r="B1585" s="2" t="inlineStr">
        <is>
          <t>Izolačná páska, 10 m, čierna</t>
        </is>
      </c>
      <c r="C1585" s="1" t="n">
        <v>0.79</v>
      </c>
      <c r="D1585" s="7" t="n">
        <f>HYPERLINK("https://www.somogyi.sk/product/izolacna-paska-10-m-cierna-ss-110-3086","https://www.somogyi.sk/product/izolacna-paska-10-m-cierna-ss-110-3086")</f>
        <v>0.0</v>
      </c>
      <c r="E1585" s="7" t="n">
        <f>HYPERLINK("https://www.somogyi.sk/data/img/product_main_images/small/03086.jpg","https://www.somogyi.sk/data/img/product_main_images/small/03086.jpg")</f>
        <v>0.0</v>
      </c>
      <c r="F1585" s="2" t="inlineStr">
        <is>
          <t>5998312734100</t>
        </is>
      </c>
      <c r="G1585" s="4" t="inlineStr">
        <is>
          <t xml:space="preserve"> • Zdôraznená charakteristika: nie 
 • dĺžka: 10 m 
 • šírka: 19 mm 
 • farba: čierna</t>
        </is>
      </c>
    </row>
    <row r="1586">
      <c r="A1586" s="6" t="inlineStr">
        <is>
          <t xml:space="preserve">   Meranie, nástroje, spájkovanie / Mazací, čistiaci materiál</t>
        </is>
      </c>
      <c r="B1586" s="6" t="inlineStr">
        <is>
          <t/>
        </is>
      </c>
      <c r="C1586" s="6" t="inlineStr">
        <is>
          <t/>
        </is>
      </c>
      <c r="D1586" s="6" t="inlineStr">
        <is>
          <t/>
        </is>
      </c>
      <c r="E1586" s="6" t="inlineStr">
        <is>
          <t/>
        </is>
      </c>
      <c r="F1586" s="6" t="inlineStr">
        <is>
          <t/>
        </is>
      </c>
      <c r="G1586" s="6" t="inlineStr">
        <is>
          <t/>
        </is>
      </c>
    </row>
    <row r="1587">
      <c r="A1587" s="3" t="inlineStr">
        <is>
          <t>290505</t>
        </is>
      </c>
      <c r="B1587" s="2" t="inlineStr">
        <is>
          <t>Motip čistič kontaktov, 200 ml</t>
        </is>
      </c>
      <c r="C1587" s="1" t="n">
        <v>6.59</v>
      </c>
      <c r="D1587" s="7" t="n">
        <f>HYPERLINK("https://www.somogyi.sk/product/motip-cistic-kontaktov-200-ml-290505-16411","https://www.somogyi.sk/product/motip-cistic-kontaktov-200-ml-290505-16411")</f>
        <v>0.0</v>
      </c>
      <c r="E1587" s="7" t="n">
        <f>HYPERLINK("https://www.somogyi.sk/data/img/product_main_images/small/16411.jpg","https://www.somogyi.sk/data/img/product_main_images/small/16411.jpg")</f>
        <v>0.0</v>
      </c>
      <c r="F1587" s="2" t="inlineStr">
        <is>
          <t>8711347235995</t>
        </is>
      </c>
      <c r="G1587" s="4" t="inlineStr">
        <is>
          <t xml:space="preserve"> • balenie: 200 ml</t>
        </is>
      </c>
    </row>
    <row r="1588">
      <c r="A1588" s="6" t="inlineStr">
        <is>
          <t xml:space="preserve">   Meranie, nástroje, spájkovanie / TRUE UTILITY</t>
        </is>
      </c>
      <c r="B1588" s="6" t="inlineStr">
        <is>
          <t/>
        </is>
      </c>
      <c r="C1588" s="6" t="inlineStr">
        <is>
          <t/>
        </is>
      </c>
      <c r="D1588" s="6" t="inlineStr">
        <is>
          <t/>
        </is>
      </c>
      <c r="E1588" s="6" t="inlineStr">
        <is>
          <t/>
        </is>
      </c>
      <c r="F1588" s="6" t="inlineStr">
        <is>
          <t/>
        </is>
      </c>
      <c r="G1588" s="6" t="inlineStr">
        <is>
          <t/>
        </is>
      </c>
    </row>
    <row r="1589">
      <c r="A1589" s="3" t="inlineStr">
        <is>
          <t>TU571K</t>
        </is>
      </c>
      <c r="B1589" s="2" t="inlineStr">
        <is>
          <t>TRUE UTILITY SKELETONKNIFE</t>
        </is>
      </c>
      <c r="C1589" s="1" t="n">
        <v>13.19</v>
      </c>
      <c r="D1589" s="7" t="n">
        <f>HYPERLINK("https://www.somogyi.sk/product/true-utility-skeletonknife-tu571k-17670","https://www.somogyi.sk/product/true-utility-skeletonknife-tu571k-17670")</f>
        <v>0.0</v>
      </c>
      <c r="E1589" s="7" t="n">
        <f>HYPERLINK("https://www.somogyi.sk/data/img/product_main_images/small/17670.jpg","https://www.somogyi.sk/data/img/product_main_images/small/17670.jpg")</f>
        <v>0.0</v>
      </c>
      <c r="F1589" s="2" t="inlineStr">
        <is>
          <t>5060063227108</t>
        </is>
      </c>
      <c r="G1589" s="4" t="inlineStr">
        <is>
          <t xml:space="preserve"> • rozmery: 6,3 x 2,4 x 0,65 cm 
 • materiál: kovový</t>
        </is>
      </c>
    </row>
    <row r="1590">
      <c r="A1590" s="3" t="inlineStr">
        <is>
          <t>TU182</t>
        </is>
      </c>
      <c r="B1590" s="2" t="inlineStr">
        <is>
          <t>TRUE UTILITY FIRERANGER</t>
        </is>
      </c>
      <c r="C1590" s="1" t="n">
        <v>23.79</v>
      </c>
      <c r="D1590" s="7" t="n">
        <f>HYPERLINK("https://www.somogyi.sk/product/true-utility-fireranger-tu182-17842","https://www.somogyi.sk/product/true-utility-fireranger-tu182-17842")</f>
        <v>0.0</v>
      </c>
      <c r="E1590" s="7" t="n">
        <f>HYPERLINK("https://www.somogyi.sk/data/img/product_main_images/small/17842.jpg","https://www.somogyi.sk/data/img/product_main_images/small/17842.jpg")</f>
        <v>0.0</v>
      </c>
      <c r="F1590" s="2" t="inlineStr">
        <is>
          <t>5060063227795</t>
        </is>
      </c>
      <c r="G1590" s="4" t="inlineStr">
        <is>
          <t xml:space="preserve"> • charakteristiky: jednoručný, uzamykateľný nôž s dĺžkou čepele 7 cm, pazúrik, núdzová píšťalka, pružinové, nerezové kliešte, rezačka drôtu, hviezdicový skrutkovač, pilník a pílka • taška na prenášanie 
 • rozmery: (v zasunutom stave) 10,8 x 4 x 2,6 cm 
 • materiál: kovový</t>
        </is>
      </c>
    </row>
    <row r="1591">
      <c r="A1591" s="3" t="inlineStr">
        <is>
          <t>TU181</t>
        </is>
      </c>
      <c r="B1591" s="2" t="inlineStr">
        <is>
          <t>TRUE UTILITY HANDYONE</t>
        </is>
      </c>
      <c r="C1591" s="1" t="n">
        <v>38.29</v>
      </c>
      <c r="D1591" s="7" t="n">
        <f>HYPERLINK("https://www.somogyi.sk/product/true-utility-handyone-tu181-17446","https://www.somogyi.sk/product/true-utility-handyone-tu181-17446")</f>
        <v>0.0</v>
      </c>
      <c r="E1591" s="7" t="n">
        <f>HYPERLINK("https://www.somogyi.sk/data/img/product_main_images/small/17446.jpg","https://www.somogyi.sk/data/img/product_main_images/small/17446.jpg")</f>
        <v>0.0</v>
      </c>
      <c r="F1591" s="2" t="inlineStr">
        <is>
          <t>5060063226958</t>
        </is>
      </c>
      <c r="G1591" s="4" t="inlineStr">
        <is>
          <t xml:space="preserve"> • charakteristiky: perfektné ručné náradie 18 v jednom • pružinové, nerezové kliešte, štiepačka na drôt, plochý skrutkovač, pilník, krížový skrutkovač, pílka, otvárač na fľaše, nôž s dĺžkou čepele 7 cm so zúbkovaním, magnetický držiak hlavy bitov a príslušenstvo 9 typov bitových hláv 
 • rozmery: (v zasunutom stave) 10,8 x 3,8 x 2.5 cm 
 • materiál: kovová</t>
        </is>
      </c>
    </row>
    <row r="1592">
      <c r="A1592" s="3" t="inlineStr">
        <is>
          <t>TU246K</t>
        </is>
      </c>
      <c r="B1592" s="2" t="inlineStr">
        <is>
          <t>TRUE UTILITY</t>
        </is>
      </c>
      <c r="C1592" s="1" t="n">
        <v>8.39</v>
      </c>
      <c r="D1592" s="7" t="n">
        <f>HYPERLINK("https://www.somogyi.sk/product/true-utility-tu246k-17669","https://www.somogyi.sk/product/true-utility-tu246k-17669")</f>
        <v>0.0</v>
      </c>
      <c r="E1592" s="7" t="n">
        <f>HYPERLINK("https://www.somogyi.sk/data/img/product_main_images/small/17669.jpg","https://www.somogyi.sk/data/img/product_main_images/small/17669.jpg")</f>
        <v>0.0</v>
      </c>
      <c r="F1592" s="2" t="inlineStr">
        <is>
          <t>5060063227443</t>
        </is>
      </c>
      <c r="G1592" s="4" t="inlineStr">
        <is>
          <t xml:space="preserve"> • materiál: oceľ / hliník</t>
        </is>
      </c>
    </row>
    <row r="1593">
      <c r="A1593" s="3" t="inlineStr">
        <is>
          <t>TU919K</t>
        </is>
      </c>
      <c r="B1593" s="2" t="inlineStr">
        <is>
          <t>TRUE UTILITY BUTTONLITE</t>
        </is>
      </c>
      <c r="C1593" s="1" t="n">
        <v>20.89</v>
      </c>
      <c r="D1593" s="7" t="n">
        <f>HYPERLINK("https://www.somogyi.sk/product/true-utility-buttonlite-tu919k-17453","https://www.somogyi.sk/product/true-utility-buttonlite-tu919k-17453")</f>
        <v>0.0</v>
      </c>
      <c r="E1593" s="7" t="n">
        <f>HYPERLINK("https://www.somogyi.sk/data/img/product_main_images/small/17453.jpg","https://www.somogyi.sk/data/img/product_main_images/small/17453.jpg")</f>
        <v>0.0</v>
      </c>
      <c r="F1593" s="2" t="inlineStr">
        <is>
          <t>5060063226545</t>
        </is>
      </c>
      <c r="G1593" s="4" t="inlineStr">
        <is>
          <t xml:space="preserve"> • rozmery: 4,3 x 3,3 x 1,6 cm 
 • materiál: kovový</t>
        </is>
      </c>
    </row>
    <row r="1594">
      <c r="A1594" s="3" t="inlineStr">
        <is>
          <t>TU6869</t>
        </is>
      </c>
      <c r="B1594" s="2" t="inlineStr">
        <is>
          <t>TRUE UTILITY SMARTKNIFE+</t>
        </is>
      </c>
      <c r="C1594" s="1" t="n">
        <v>27.29</v>
      </c>
      <c r="D1594" s="7" t="n">
        <f>HYPERLINK("https://www.somogyi.sk/product/true-utility-smartknife-tu6869-17461","https://www.somogyi.sk/product/true-utility-smartknife-tu6869-17461")</f>
        <v>0.0</v>
      </c>
      <c r="E1594" s="7" t="n">
        <f>HYPERLINK("https://www.somogyi.sk/data/img/product_main_images/small/17461.jpg","https://www.somogyi.sk/data/img/product_main_images/small/17461.jpg")</f>
        <v>0.0</v>
      </c>
      <c r="F1594" s="2" t="inlineStr">
        <is>
          <t>5060063227269</t>
        </is>
      </c>
      <c r="G1594" s="4" t="inlineStr">
        <is>
          <t xml:space="preserve"> • rozmery: (v zasunutom stave) 11,2 x 4,2 x 1,4 cm 
 • materiál: kovová</t>
        </is>
      </c>
    </row>
    <row r="1595">
      <c r="A1595" s="3" t="inlineStr">
        <is>
          <t>TU214K</t>
        </is>
      </c>
      <c r="B1595" s="2" t="inlineStr">
        <is>
          <t>TRUE UTILITY SHARKEY</t>
        </is>
      </c>
      <c r="C1595" s="1" t="n">
        <v>13.19</v>
      </c>
      <c r="D1595" s="7" t="n">
        <f>HYPERLINK("https://www.somogyi.sk/product/true-utility-sharkey-tu214k-17437","https://www.somogyi.sk/product/true-utility-sharkey-tu214k-17437")</f>
        <v>0.0</v>
      </c>
      <c r="E1595" s="7" t="n">
        <f>HYPERLINK("https://www.somogyi.sk/data/img/product_main_images/small/17437.jpg","https://www.somogyi.sk/data/img/product_main_images/small/17437.jpg")</f>
        <v>0.0</v>
      </c>
      <c r="F1595" s="2" t="inlineStr">
        <is>
          <t>5060063226248</t>
        </is>
      </c>
      <c r="G1595" s="4" t="inlineStr">
        <is>
          <t xml:space="preserve"> • rozmery: 2,5 x 0,8 x 6,8 cm 
 • materiál: kovová</t>
        </is>
      </c>
    </row>
    <row r="1596">
      <c r="A1596" s="3" t="inlineStr">
        <is>
          <t>TU262K</t>
        </is>
      </c>
      <c r="B1596" s="2" t="inlineStr">
        <is>
          <t>TRUE UTILITY FIRESTASH</t>
        </is>
      </c>
      <c r="C1596" s="1" t="n">
        <v>10.39</v>
      </c>
      <c r="D1596" s="7" t="n">
        <f>HYPERLINK("https://www.somogyi.sk/product/true-utility-firestash-tu262k-17455","https://www.somogyi.sk/product/true-utility-firestash-tu262k-17455")</f>
        <v>0.0</v>
      </c>
      <c r="E1596" s="7" t="n">
        <f>HYPERLINK("https://www.somogyi.sk/data/img/product_main_images/small/17455.jpg","https://www.somogyi.sk/data/img/product_main_images/small/17455.jpg")</f>
        <v>0.0</v>
      </c>
      <c r="F1596" s="2" t="inlineStr">
        <is>
          <t>5060063226293</t>
        </is>
      </c>
      <c r="G1596" s="4" t="inlineStr">
        <is>
          <t xml:space="preserve"> • charakteristiky: malý, vodeodolný zapaľovač a držiak na kľúče • chrómovaný zinkový materiál • možno použiť s bežným benzínovým zapaľovačom 
 • rozmery: 4,5 x 1,5 x 1,5 cm 
 • materiál: kovová 
 • ďalšie informácie: produkt nie je nabitý</t>
        </is>
      </c>
    </row>
    <row r="1597">
      <c r="A1597" s="3" t="inlineStr">
        <is>
          <t>TU208K</t>
        </is>
      </c>
      <c r="B1597" s="2" t="inlineStr">
        <is>
          <t>TRUE UTILITY MINIMALIST</t>
        </is>
      </c>
      <c r="C1597" s="1" t="n">
        <v>21.79</v>
      </c>
      <c r="D1597" s="7" t="n">
        <f>HYPERLINK("https://www.somogyi.sk/product/true-utility-minimalist-tu208k-17440","https://www.somogyi.sk/product/true-utility-minimalist-tu208k-17440")</f>
        <v>0.0</v>
      </c>
      <c r="E1597" s="7" t="n">
        <f>HYPERLINK("https://www.somogyi.sk/data/img/product_main_images/small/17440.jpg","https://www.somogyi.sk/data/img/product_main_images/small/17440.jpg")</f>
        <v>0.0</v>
      </c>
      <c r="F1597" s="2" t="inlineStr">
        <is>
          <t>5060063226224</t>
        </is>
      </c>
      <c r="G1597" s="4" t="inlineStr">
        <is>
          <t xml:space="preserve"> • charakteristiky: dizajnový nôž a multifunkčné náradie • karabína, otvárač na fľaše, malý/veľký plochý skrutkovač, pilník, pilník, nerezový nôž potiahnutý čiernou titánovou vrstvou • ľahký, tenký a hodí sa do malých priestorov 
 • rozmery: (v zasunutom stave) 8,6 x 2 x 1,2 cm 
 • materiál: kovová</t>
        </is>
      </c>
    </row>
    <row r="1598">
      <c r="A1598" s="3" t="inlineStr">
        <is>
          <t>TU206K</t>
        </is>
      </c>
      <c r="B1598" s="2" t="inlineStr">
        <is>
          <t>TRUE UTILITY FISHFACE</t>
        </is>
      </c>
      <c r="C1598" s="1" t="n">
        <v>8.49</v>
      </c>
      <c r="D1598" s="7" t="n">
        <f>HYPERLINK("https://www.somogyi.sk/product/true-utility-fishface-tu206k-17438","https://www.somogyi.sk/product/true-utility-fishface-tu206k-17438")</f>
        <v>0.0</v>
      </c>
      <c r="E1598" s="7" t="n">
        <f>HYPERLINK("https://www.somogyi.sk/data/img/product_main_images/small/17438.jpg","https://www.somogyi.sk/data/img/product_main_images/small/17438.jpg")</f>
        <v>0.0</v>
      </c>
      <c r="F1598" s="2" t="inlineStr">
        <is>
          <t>5060063226217</t>
        </is>
      </c>
      <c r="G1598" s="4" t="inlineStr">
        <is>
          <t xml:space="preserve"> • charakteristiky: • 18 funkcií - všetko jednom náradí • karabína, malý/stredný/veľký plochý skrutkovač, páka, špicový kľúč, bezpečnostná čepeľ, 4mm/ 6mm/ 1/4"/ 8mm/ 10mm skrutkový kľúč, otvárač na fľaše, nástroj čistenie nechtov, malý/stredný/veľký krížový skrutkovač, pilník 
 • rozmery: 7 x 2,9 x 0,9 cm 
 • materiál: kovová</t>
        </is>
      </c>
    </row>
    <row r="1599">
      <c r="A1599" s="3" t="inlineStr">
        <is>
          <t>TU6871</t>
        </is>
      </c>
      <c r="B1599" s="2" t="inlineStr">
        <is>
          <t>TRUE UTILITY TRUEBLADE</t>
        </is>
      </c>
      <c r="C1599" s="1" t="n">
        <v>21.09</v>
      </c>
      <c r="D1599" s="7" t="n">
        <f>HYPERLINK("https://www.somogyi.sk/product/true-utility-trueblade-tu6871-17460","https://www.somogyi.sk/product/true-utility-trueblade-tu6871-17460")</f>
        <v>0.0</v>
      </c>
      <c r="E1599" s="7" t="n">
        <f>HYPERLINK("https://www.somogyi.sk/data/img/product_main_images/small/17460.jpg","https://www.somogyi.sk/data/img/product_main_images/small/17460.jpg")</f>
        <v>0.0</v>
      </c>
      <c r="F1599" s="2" t="inlineStr">
        <is>
          <t>5060063227252</t>
        </is>
      </c>
      <c r="G1599" s="4" t="inlineStr">
        <is>
          <t xml:space="preserve"> • rozmery: (v zasunutom stave) 10,9 x 3,1 x 1,7 cm 
 • materiál: kovová</t>
        </is>
      </c>
    </row>
    <row r="1600">
      <c r="A1600" s="3" t="inlineStr">
        <is>
          <t>TU215K</t>
        </is>
      </c>
      <c r="B1600" s="2" t="inlineStr">
        <is>
          <t>TRUE UTILITY NAILCLIP KIT</t>
        </is>
      </c>
      <c r="C1600" s="1" t="n">
        <v>13.59</v>
      </c>
      <c r="D1600" s="7" t="n">
        <f>HYPERLINK("https://www.somogyi.sk/product/true-utility-nailclip-kit-tu215k-17444","https://www.somogyi.sk/product/true-utility-nailclip-kit-tu215k-17444")</f>
        <v>0.0</v>
      </c>
      <c r="E1600" s="7" t="n">
        <f>HYPERLINK("https://www.somogyi.sk/data/img/product_main_images/small/17444.jpg","https://www.somogyi.sk/data/img/product_main_images/small/17444.jpg")</f>
        <v>0.0</v>
      </c>
      <c r="F1600" s="2" t="inlineStr">
        <is>
          <t>5060063227023</t>
        </is>
      </c>
      <c r="G1600" s="4" t="inlineStr">
        <is>
          <t xml:space="preserve"> • charakteristiky: kompaktná sada na starostlivosť o nechty 5 v 1 • štipec na nechty, nôž, pilník, čistič na nechty, nožnice na nechty • materiál z nehrdzavejúcej ocele 
 • rozmery: 5,6 x 1,5 x 0,9 cm 
 • materiál: kovová</t>
        </is>
      </c>
    </row>
    <row r="1601">
      <c r="A1601" s="3" t="inlineStr">
        <is>
          <t>TU7060N</t>
        </is>
      </c>
      <c r="B1601" s="2" t="inlineStr">
        <is>
          <t>TRUE UTILITY MODERN KEY CHAIN KNIFE - Grey (Hang Pack)</t>
        </is>
      </c>
      <c r="C1601" s="1" t="n">
        <v>18.69</v>
      </c>
      <c r="D1601" s="7" t="n">
        <f>HYPERLINK("https://www.somogyi.sk/product/true-utility-modern-key-chain-knife-grey-hang-pack-tu7060n-17457","https://www.somogyi.sk/product/true-utility-modern-key-chain-knife-grey-hang-pack-tu7060n-17457")</f>
        <v>0.0</v>
      </c>
      <c r="E1601" s="7" t="n">
        <f>HYPERLINK("https://www.somogyi.sk/data/img/product_main_images/small/17457.jpg","https://www.somogyi.sk/data/img/product_main_images/small/17457.jpg")</f>
        <v>0.0</v>
      </c>
      <c r="F1601" s="2" t="inlineStr">
        <is>
          <t>5060063227825</t>
        </is>
      </c>
      <c r="G1601" s="4" t="inlineStr">
        <is>
          <t xml:space="preserve"> • rozmery: 7,6 x 1,7 x 0,8 cm 
 • materiál: kovová</t>
        </is>
      </c>
    </row>
    <row r="1602">
      <c r="A1602" s="3" t="inlineStr">
        <is>
          <t>TU921</t>
        </is>
      </c>
      <c r="B1602" s="2" t="inlineStr">
        <is>
          <t>TRUE UTILITY KEYSHACKLE</t>
        </is>
      </c>
      <c r="C1602" s="1" t="n">
        <v>9.19</v>
      </c>
      <c r="D1602" s="7" t="n">
        <f>HYPERLINK("https://www.somogyi.sk/product/true-utility-keyshackle-tu921-17445","https://www.somogyi.sk/product/true-utility-keyshackle-tu921-17445")</f>
        <v>0.0</v>
      </c>
      <c r="E1602" s="7" t="n">
        <f>HYPERLINK("https://www.somogyi.sk/data/img/product_main_images/small/17445.jpg","https://www.somogyi.sk/data/img/product_main_images/small/17445.jpg")</f>
        <v>0.0</v>
      </c>
      <c r="F1602" s="2" t="inlineStr">
        <is>
          <t>5060063227290</t>
        </is>
      </c>
      <c r="G1602" s="4" t="inlineStr">
        <is>
          <t xml:space="preserve"> • rozmery: 10 x 2,6 x 2,2 cm 
 • materiál: kov, koža</t>
        </is>
      </c>
    </row>
    <row r="1603">
      <c r="A1603" s="3" t="inlineStr">
        <is>
          <t>TU918</t>
        </is>
      </c>
      <c r="B1603" s="2" t="inlineStr">
        <is>
          <t>TRUE UTILITY CLIPLITE</t>
        </is>
      </c>
      <c r="C1603" s="1" t="n">
        <v>16.39</v>
      </c>
      <c r="D1603" s="7" t="n">
        <f>HYPERLINK("https://www.somogyi.sk/product/true-utility-cliplite-tu918-17452","https://www.somogyi.sk/product/true-utility-cliplite-tu918-17452")</f>
        <v>0.0</v>
      </c>
      <c r="E1603" s="7" t="n">
        <f>HYPERLINK("https://www.somogyi.sk/data/img/product_main_images/small/17452.jpg","https://www.somogyi.sk/data/img/product_main_images/small/17452.jpg")</f>
        <v>0.0</v>
      </c>
      <c r="F1603" s="2" t="inlineStr">
        <is>
          <t>5060063225364</t>
        </is>
      </c>
      <c r="G1603" s="4" t="inlineStr">
        <is>
          <t xml:space="preserve"> • rozmery: 13 x 3,4 x 1,6 cm 
 • materiál: kov, koža</t>
        </is>
      </c>
    </row>
    <row r="1604">
      <c r="A1604" s="3" t="inlineStr">
        <is>
          <t>TRU-MTL-0004-G</t>
        </is>
      </c>
      <c r="B1604" s="2" t="inlineStr">
        <is>
          <t>TRUE UTILITY Ti POCKET MULTI TOOL</t>
        </is>
      </c>
      <c r="C1604" s="1" t="n">
        <v>43.59</v>
      </c>
      <c r="D1604" s="7" t="n">
        <f>HYPERLINK("https://www.somogyi.sk/product/true-utility-ti-pocket-multi-tool-tru-mtl-0004-g-17841","https://www.somogyi.sk/product/true-utility-ti-pocket-multi-tool-tru-mtl-0004-g-17841")</f>
        <v>0.0</v>
      </c>
      <c r="E1604" s="7" t="n">
        <f>HYPERLINK("https://www.somogyi.sk/data/img/product_main_images/small/17841.jpg","https://www.somogyi.sk/data/img/product_main_images/small/17841.jpg")</f>
        <v>0.0</v>
      </c>
      <c r="F1604" s="2" t="inlineStr">
        <is>
          <t>5060063229577</t>
        </is>
      </c>
      <c r="G1604" s="4" t="inlineStr">
        <is>
          <t xml:space="preserve"> • rozmery: (v zasunutom stave) 24,4 x 15,2 x 3,4 cm 
 • materiál: kovový</t>
        </is>
      </c>
    </row>
    <row r="1605">
      <c r="A1605" s="3" t="inlineStr">
        <is>
          <t>TRU-MTL-0002-G</t>
        </is>
      </c>
      <c r="B1605" s="2" t="inlineStr">
        <is>
          <t>TRUE UTILITY DUAL CUTTER</t>
        </is>
      </c>
      <c r="C1605" s="1" t="n">
        <v>18.99</v>
      </c>
      <c r="D1605" s="7" t="n">
        <f>HYPERLINK("https://www.somogyi.sk/product/true-utility-dual-cutter-tru-mtl-0002-g-17840","https://www.somogyi.sk/product/true-utility-dual-cutter-tru-mtl-0002-g-17840")</f>
        <v>0.0</v>
      </c>
      <c r="E1605" s="7" t="n">
        <f>HYPERLINK("https://www.somogyi.sk/data/img/product_main_images/small/17840.jpg","https://www.somogyi.sk/data/img/product_main_images/small/17840.jpg")</f>
        <v>0.0</v>
      </c>
      <c r="F1605" s="2" t="inlineStr">
        <is>
          <t>5060063229201</t>
        </is>
      </c>
      <c r="G1605" s="4" t="inlineStr">
        <is>
          <t xml:space="preserve"> • charakteristiky: rezací nástroj 2 v 1 • 7 cm nôž tanto • jednoručná, uzamykateľná čepeľ • pružinové nožnice so 4 cm ostrím • eloxovaný hliníkový kryt • čepeľ z nehrdzavejúcej ocele 
 • rozmery: (v zasunutom stave) 10 x 3 x 2 cm 
 • materiál: kovový</t>
        </is>
      </c>
    </row>
    <row r="1606">
      <c r="A1606" s="3" t="inlineStr">
        <is>
          <t>TU180K</t>
        </is>
      </c>
      <c r="B1606" s="2" t="inlineStr">
        <is>
          <t>TRUE UTILITY SEVEN</t>
        </is>
      </c>
      <c r="C1606" s="1" t="n">
        <v>21.79</v>
      </c>
      <c r="D1606" s="7" t="n">
        <f>HYPERLINK("https://www.somogyi.sk/product/true-utility-seven-tu180k-17447","https://www.somogyi.sk/product/true-utility-seven-tu180k-17447")</f>
        <v>0.0</v>
      </c>
      <c r="E1606" s="7" t="n">
        <f>HYPERLINK("https://www.somogyi.sk/data/img/product_main_images/small/17447.jpg","https://www.somogyi.sk/data/img/product_main_images/small/17447.jpg")</f>
        <v>0.0</v>
      </c>
      <c r="F1606" s="2" t="inlineStr">
        <is>
          <t>5060063226156</t>
        </is>
      </c>
      <c r="G1606" s="4" t="inlineStr">
        <is>
          <t xml:space="preserve"> • charakteristiky: špičkové, super kompaktné multifunkčné náradie • základné náradie 9 v 1: pružinové, nerezové kliešte, rezačka drôtu, hviezdicový skrutkovač, otvárač na fľaše, nôž, pílka, plochý skrutkovač, karabína, pilník • nerezové telo • ergonomická rukoväť z eloxovaného hliníka • rýchloupínacia karabína 
 • rozmery: (v zasunutom stave) 8,5 x 3 x 1,5 cm 
 • materiál: kovová</t>
        </is>
      </c>
    </row>
    <row r="1607">
      <c r="A1607" s="3" t="inlineStr">
        <is>
          <t>TU590</t>
        </is>
      </c>
      <c r="B1607" s="2" t="inlineStr">
        <is>
          <t>TRUE UTILITY CRAFTY</t>
        </is>
      </c>
      <c r="C1607" s="1" t="n">
        <v>12.99</v>
      </c>
      <c r="D1607" s="7" t="n">
        <f>HYPERLINK("https://www.somogyi.sk/product/true-utility-crafty-tu590-17462","https://www.somogyi.sk/product/true-utility-crafty-tu590-17462")</f>
        <v>0.0</v>
      </c>
      <c r="E1607" s="7" t="n">
        <f>HYPERLINK("https://www.somogyi.sk/data/img/product_main_images/small/17462.jpg","https://www.somogyi.sk/data/img/product_main_images/small/17462.jpg")</f>
        <v>0.0</v>
      </c>
      <c r="F1607" s="2" t="inlineStr">
        <is>
          <t>5060063226033</t>
        </is>
      </c>
      <c r="G1607" s="4" t="inlineStr">
        <is>
          <t xml:space="preserve"> • rozmery: (v zasunutom stave) 11 x 2,6 x 0,9 cm 
 • materiál: kovová</t>
        </is>
      </c>
    </row>
    <row r="1608">
      <c r="A1608" s="3" t="inlineStr">
        <is>
          <t>TU407K</t>
        </is>
      </c>
      <c r="B1608" s="2" t="inlineStr">
        <is>
          <t>TRUE UTILITY FIREWIRE TURBOJET LIGHTER</t>
        </is>
      </c>
      <c r="C1608" s="1" t="n">
        <v>20.59</v>
      </c>
      <c r="D1608" s="7" t="n">
        <f>HYPERLINK("https://www.somogyi.sk/product/true-utility-firewire-turbojet-lighter-tu407k-17456","https://www.somogyi.sk/product/true-utility-firewire-turbojet-lighter-tu407k-17456")</f>
        <v>0.0</v>
      </c>
      <c r="E1608" s="7" t="n">
        <f>HYPERLINK("https://www.somogyi.sk/data/img/product_main_images/small/17456.jpg","https://www.somogyi.sk/data/img/product_main_images/small/17456.jpg")</f>
        <v>0.0</v>
      </c>
      <c r="F1608" s="2" t="inlineStr">
        <is>
          <t>5060063226514</t>
        </is>
      </c>
      <c r="G1608" s="4" t="inlineStr">
        <is>
          <t xml:space="preserve"> • rozmery: 7 x 2,5 x 3,5 cm 
 • materiál: kovová</t>
        </is>
      </c>
    </row>
    <row r="1609">
      <c r="A1609" s="3" t="inlineStr">
        <is>
          <t>TU195K</t>
        </is>
      </c>
      <c r="B1609" s="2" t="inlineStr">
        <is>
          <t>TRUE UTILITY MINIMULTI</t>
        </is>
      </c>
      <c r="C1609" s="1" t="n">
        <v>22.19</v>
      </c>
      <c r="D1609" s="7" t="n">
        <f>HYPERLINK("https://www.somogyi.sk/product/true-utility-minimulti-tu195k-17449","https://www.somogyi.sk/product/true-utility-minimulti-tu195k-17449")</f>
        <v>0.0</v>
      </c>
      <c r="E1609" s="7" t="n">
        <f>HYPERLINK("https://www.somogyi.sk/data/img/product_main_images/small/17449.jpg","https://www.somogyi.sk/data/img/product_main_images/small/17449.jpg")</f>
        <v>0.0</v>
      </c>
      <c r="F1609" s="2" t="inlineStr">
        <is>
          <t>5060063226163</t>
        </is>
      </c>
      <c r="G1609" s="4" t="inlineStr">
        <is>
          <t xml:space="preserve"> • charakteristiky: • 10 funkcií • krížový skrutkovač, nožnice, otvárač na fľaše, stredný plochý skrutkovač, pílka, pružinové nehrdzavejúce kliešte, štiepačka na drôt, veľký plochý skrutkovač, pilník, nôž 
 • rozmery: (v zasunutom stave) 7,6 x 3,8 x 1,6 cm 
 • materiál: kovová</t>
        </is>
      </c>
    </row>
    <row r="1610">
      <c r="A1610" s="6" t="inlineStr">
        <is>
          <t xml:space="preserve">   Meranie, nástroje, spájkovanie / Sponkovačka, spony</t>
        </is>
      </c>
      <c r="B1610" s="6" t="inlineStr">
        <is>
          <t/>
        </is>
      </c>
      <c r="C1610" s="6" t="inlineStr">
        <is>
          <t/>
        </is>
      </c>
      <c r="D1610" s="6" t="inlineStr">
        <is>
          <t/>
        </is>
      </c>
      <c r="E1610" s="6" t="inlineStr">
        <is>
          <t/>
        </is>
      </c>
      <c r="F1610" s="6" t="inlineStr">
        <is>
          <t/>
        </is>
      </c>
      <c r="G1610" s="6" t="inlineStr">
        <is>
          <t/>
        </is>
      </c>
    </row>
    <row r="1611">
      <c r="A1611" s="3" t="inlineStr">
        <is>
          <t>KTG 01/T</t>
        </is>
      </c>
      <c r="B1611" s="2" t="inlineStr">
        <is>
          <t>Sada sponiek 3x200db, 8mm, 10mm, 12mm</t>
        </is>
      </c>
      <c r="C1611" s="1" t="n">
        <v>2.19</v>
      </c>
      <c r="D1611" s="7" t="n">
        <f>HYPERLINK("https://www.somogyi.sk/product/sada-sponiek-3x200db-8mm-10mm-12mm-ktg-01-t-17468","https://www.somogyi.sk/product/sada-sponiek-3x200db-8mm-10mm-12mm-ktg-01-t-17468")</f>
        <v>0.0</v>
      </c>
      <c r="E1611" s="7" t="n">
        <f>HYPERLINK("https://www.somogyi.sk/data/img/product_main_images/small/17468.jpg","https://www.somogyi.sk/data/img/product_main_images/small/17468.jpg")</f>
        <v>0.0</v>
      </c>
      <c r="F1611" s="2" t="inlineStr">
        <is>
          <t>5999084954901</t>
        </is>
      </c>
      <c r="G1611" s="4" t="inlineStr">
        <is>
          <t xml:space="preserve"> • rozmery: 200 x 8 mm spona / 200 x 10 mm spona / 200 x12 mm spona</t>
        </is>
      </c>
    </row>
    <row r="1612">
      <c r="A1612" s="3" t="inlineStr">
        <is>
          <t>KTG 01</t>
        </is>
      </c>
      <c r="B1612" s="2" t="inlineStr">
        <is>
          <t>Ručná sponkovačka</t>
        </is>
      </c>
      <c r="C1612" s="1" t="n">
        <v>6.99</v>
      </c>
      <c r="D1612" s="7" t="n">
        <f>HYPERLINK("https://www.somogyi.sk/product/rucna-sponkovacka-ktg-01-17469","https://www.somogyi.sk/product/rucna-sponkovacka-ktg-01-17469")</f>
        <v>0.0</v>
      </c>
      <c r="E1612" s="7" t="n">
        <f>HYPERLINK("https://www.somogyi.sk/data/img/product_main_images/small/17469.jpg","https://www.somogyi.sk/data/img/product_main_images/small/17469.jpg")</f>
        <v>0.0</v>
      </c>
      <c r="F1612" s="2" t="inlineStr">
        <is>
          <t>5999084954918</t>
        </is>
      </c>
      <c r="G1612" s="4" t="inlineStr">
        <is>
          <t xml:space="preserve"> • materiál: oceľ 
 • príslušenstvo: 300 x 8 mm spony U 
 • rozmery: 159 x 24 x 109 mm 
 • hmotnosť: 530 g</t>
        </is>
      </c>
    </row>
    <row r="1613">
      <c r="A1613" s="6" t="inlineStr">
        <is>
          <t xml:space="preserve">   Meranie, nástroje, spájkovanie / STANLEY vozíky</t>
        </is>
      </c>
      <c r="B1613" s="6" t="inlineStr">
        <is>
          <t/>
        </is>
      </c>
      <c r="C1613" s="6" t="inlineStr">
        <is>
          <t/>
        </is>
      </c>
      <c r="D1613" s="6" t="inlineStr">
        <is>
          <t/>
        </is>
      </c>
      <c r="E1613" s="6" t="inlineStr">
        <is>
          <t/>
        </is>
      </c>
      <c r="F1613" s="6" t="inlineStr">
        <is>
          <t/>
        </is>
      </c>
      <c r="G1613" s="6" t="inlineStr">
        <is>
          <t/>
        </is>
      </c>
    </row>
    <row r="1614">
      <c r="A1614" s="3" t="inlineStr">
        <is>
          <t>SXWTD-PC527</t>
        </is>
      </c>
      <c r="B1614" s="2" t="inlineStr">
        <is>
          <t>Skladací oceľový vozík</t>
        </is>
      </c>
      <c r="C1614" s="1" t="n">
        <v>91.79</v>
      </c>
      <c r="D1614" s="7" t="n">
        <f>HYPERLINK("https://www.somogyi.sk/product/skladaci-ocelovy-vozik-sxwtd-pc527-17826","https://www.somogyi.sk/product/skladaci-ocelovy-vozik-sxwtd-pc527-17826")</f>
        <v>0.0</v>
      </c>
      <c r="E1614" s="7" t="n">
        <f>HYPERLINK("https://www.somogyi.sk/data/img/product_main_images/small/17826.jpg","https://www.somogyi.sk/data/img/product_main_images/small/17826.jpg")</f>
        <v>0.0</v>
      </c>
      <c r="F1614" s="2" t="inlineStr">
        <is>
          <t>8717496635273</t>
        </is>
      </c>
      <c r="G1614" s="4" t="inlineStr">
        <is>
          <t xml:space="preserve"> • nosnosť: 150 kg 
 •  
 • skladací: áno 
 • hmotnosť: 7,8 kg</t>
        </is>
      </c>
    </row>
    <row r="1615">
      <c r="A1615" s="3" t="inlineStr">
        <is>
          <t>SXWTD-FT505</t>
        </is>
      </c>
      <c r="B1615" s="2" t="inlineStr">
        <is>
          <t>STANLEY Skladacia prepravka, 25 kg / 50 L</t>
        </is>
      </c>
      <c r="C1615" s="1" t="n">
        <v>38.29</v>
      </c>
      <c r="D1615" s="7" t="n">
        <f>HYPERLINK("https://www.somogyi.sk/product/stanley-skladacia-prepravka-25-kg-50-l-sxwtd-ft505-16623","https://www.somogyi.sk/product/stanley-skladacia-prepravka-25-kg-50-l-sxwtd-ft505-16623")</f>
        <v>0.0</v>
      </c>
      <c r="E1615" s="7" t="n">
        <f>HYPERLINK("https://www.somogyi.sk/data/img/product_main_images/small/16623.jpg","https://www.somogyi.sk/data/img/product_main_images/small/16623.jpg")</f>
        <v>0.0</v>
      </c>
      <c r="F1615" s="2" t="inlineStr">
        <is>
          <t>8717496635051</t>
        </is>
      </c>
      <c r="G1615" s="4" t="inlineStr">
        <is>
          <t xml:space="preserve"> • nosnosť: 25 kg 
 •  
 • skladací: áno 
 • materiál: plast 
 • objem: 50 l 
 • hmotnosť: 2 kg</t>
        </is>
      </c>
    </row>
    <row r="1616">
      <c r="A1616" s="3" t="inlineStr">
        <is>
          <t>SXWTD-FT584</t>
        </is>
      </c>
      <c r="B1616" s="2" t="inlineStr">
        <is>
          <t>STANLEY Skladacia schodisková rudla, 60 kg</t>
        </is>
      </c>
      <c r="C1616" s="1" t="n">
        <v>67.49</v>
      </c>
      <c r="D1616" s="7" t="n">
        <f>HYPERLINK("https://www.somogyi.sk/product/stanley-skladacia-schodiskova-rudla-60-kg-sxwtd-ft584-17052","https://www.somogyi.sk/product/stanley-skladacia-schodiskova-rudla-60-kg-sxwtd-ft584-17052")</f>
        <v>0.0</v>
      </c>
      <c r="E1616" s="7" t="n">
        <f>HYPERLINK("https://www.somogyi.sk/data/img/product_main_images/small/17052.jpg","https://www.somogyi.sk/data/img/product_main_images/small/17052.jpg")</f>
        <v>0.0</v>
      </c>
      <c r="F1616" s="2" t="inlineStr">
        <is>
          <t>8717496635846</t>
        </is>
      </c>
      <c r="G1616" s="4" t="inlineStr">
        <is>
          <t xml:space="preserve"> • nosnosť: 60 kg 
 •  
 • skladací: áno 
 • materiál: odolné časti sú vyrobené z nylonu, ostatné plastové časti sú vyrobené z polypropylénu / rám, rukoväť je vyrobená z hliníka a ocele / plastové kolesá s gumovým povrchom 
 • hmotnosť: 4,0 kg 
 • ďalšie informácie: jeho kolieska sa po zložení naplocho zatvoria / 2 x 3 kolieska pre ľahké schody, alebo prekonávanie prahov, dlažobných kociek, iných prekážok / možno uložiť na malom priestore, za nábytkom, pod posteľ / v zloženom stave sa ľahko prenáša</t>
        </is>
      </c>
    </row>
    <row r="1617">
      <c r="A1617" s="3" t="inlineStr">
        <is>
          <t>SXWTD-FT580</t>
        </is>
      </c>
      <c r="B1617" s="2" t="inlineStr">
        <is>
          <t>STANLEY Skladacia rudla, 70 kg</t>
        </is>
      </c>
      <c r="C1617" s="1" t="n">
        <v>57.39</v>
      </c>
      <c r="D1617" s="7" t="n">
        <f>HYPERLINK("https://www.somogyi.sk/product/stanley-skladacia-rudla-70-kg-sxwtd-ft580-17051","https://www.somogyi.sk/product/stanley-skladacia-rudla-70-kg-sxwtd-ft580-17051")</f>
        <v>0.0</v>
      </c>
      <c r="E1617" s="7" t="n">
        <f>HYPERLINK("https://www.somogyi.sk/data/img/product_main_images/small/17051.jpg","https://www.somogyi.sk/data/img/product_main_images/small/17051.jpg")</f>
        <v>0.0</v>
      </c>
      <c r="F1617" s="2" t="inlineStr">
        <is>
          <t>8717496635808</t>
        </is>
      </c>
      <c r="G1617" s="4" t="inlineStr">
        <is>
          <t xml:space="preserve"> • nosnosť: 70 kg 
 •  
 • skladací: áno 
 • materiál: odolné časti sú vyrobené z nylonu, ostatné plastové časti sú vyrobené z polypropylénu / rám, rukoväť je vyrobená z hliníka a ocele / plastové kolesá s gumovým povrchom 
 • hmotnosť: 3,9 kg 
 • ďalšie informácie: jeho kolesá sa po zložení naplocho zatvoria / možno uložiť na malom priestore, za nábytkom, pod posteľou / v zloženom stave sa ľahko prenáša</t>
        </is>
      </c>
    </row>
    <row r="1618">
      <c r="A1618" s="3" t="inlineStr">
        <is>
          <t>SXWTD-FT585</t>
        </is>
      </c>
      <c r="B1618" s="2" t="inlineStr">
        <is>
          <t>STANLEY Skladací vozík / rudla 2-in-1, 137 / 70 kg</t>
        </is>
      </c>
      <c r="C1618" s="1" t="n">
        <v>142.9</v>
      </c>
      <c r="D1618" s="7" t="n">
        <f>HYPERLINK("https://www.somogyi.sk/product/stanley-skladaci-vozik-rudla-2-in-1-137-70-kg-sxwtd-ft585-17053","https://www.somogyi.sk/product/stanley-skladaci-vozik-rudla-2-in-1-137-70-kg-sxwtd-ft585-17053")</f>
        <v>0.0</v>
      </c>
      <c r="E1618" s="7" t="n">
        <f>HYPERLINK("https://www.somogyi.sk/data/img/product_main_images/small/17053.jpg","https://www.somogyi.sk/data/img/product_main_images/small/17053.jpg")</f>
        <v>0.0</v>
      </c>
      <c r="F1618" s="2" t="inlineStr">
        <is>
          <t>8717496635853</t>
        </is>
      </c>
      <c r="G1618" s="4" t="inlineStr">
        <is>
          <t xml:space="preserve"> • nosnosť: 137 / 70 kg 
 •  
 • skladací: áno 
 • materiál: odolné časti sú vyrobené z nylonu, ostatné plastové časti sú vyrobené z polypropylénu / rám, rukoväť je vyrobená z hliníka a ocele / plastové kolesá s guličkovými ložiskami a gumovým povrchom 
 • hmotnosť: 7,3 kg</t>
        </is>
      </c>
    </row>
    <row r="1619">
      <c r="A1619" s="6" t="inlineStr">
        <is>
          <t xml:space="preserve">   Príslušenstvo do auta / Menič napätia, nabíjačka akumulátora</t>
        </is>
      </c>
      <c r="B1619" s="6" t="inlineStr">
        <is>
          <t/>
        </is>
      </c>
      <c r="C1619" s="6" t="inlineStr">
        <is>
          <t/>
        </is>
      </c>
      <c r="D1619" s="6" t="inlineStr">
        <is>
          <t/>
        </is>
      </c>
      <c r="E1619" s="6" t="inlineStr">
        <is>
          <t/>
        </is>
      </c>
      <c r="F1619" s="6" t="inlineStr">
        <is>
          <t/>
        </is>
      </c>
      <c r="G1619" s="6" t="inlineStr">
        <is>
          <t/>
        </is>
      </c>
    </row>
    <row r="1620">
      <c r="A1620" s="3" t="inlineStr">
        <is>
          <t>SMC20</t>
        </is>
      </c>
      <c r="B1620" s="2" t="inlineStr">
        <is>
          <t>Nabíjačka akumulátora, 6-12V/2A, SMART, LCD</t>
        </is>
      </c>
      <c r="C1620" s="1" t="n">
        <v>40.29</v>
      </c>
      <c r="D1620" s="7" t="n">
        <f>HYPERLINK("https://www.somogyi.sk/product/nabijacka-akumulatora-6-12v-2a-smart-lcd-smc20-18715","https://www.somogyi.sk/product/nabijacka-akumulatora-6-12v-2a-smart-lcd-smc20-18715")</f>
        <v>0.0</v>
      </c>
      <c r="E1620" s="7" t="n">
        <f>HYPERLINK("https://www.somogyi.sk/data/img/product_main_images/small/18715.jpg","https://www.somogyi.sk/data/img/product_main_images/small/18715.jpg")</f>
        <v>0.0</v>
      </c>
      <c r="F1620" s="2" t="inlineStr">
        <is>
          <t>5999084967338</t>
        </is>
      </c>
      <c r="G1620" s="4" t="inlineStr">
        <is>
          <t xml:space="preserve"> • vstupné napätie: 230 V~ / 50 Hz 
 • vstupná prípojka: sieťová prípojka 
 • nabíjací prúd: 0,5 A / 1,8 A  (2 A max.) 
 • výstupná prípojka: štipec alebo svorka 
 • materiál krytu: plast 
 •  
 • IP ochrana: IP65 
 •  
 • nabíjanie: automatické programy nabíjania SMART 	 
 • nízkoprúdové nabíjanie šetriace batériu (2A) 	 
 • udržiavacie, regeneračné nabíjanie 
 • príslušenstvo: štipcový a svorkový prepojovací kábel 
 • rozmery: 150 x 42 x 65 mm 
 • hmotnosť: 230 g</t>
        </is>
      </c>
    </row>
    <row r="1621">
      <c r="A1621" s="6" t="inlineStr">
        <is>
          <t xml:space="preserve">   Príslušenstvo do auta / Elektrická prípojka</t>
        </is>
      </c>
      <c r="B1621" s="6" t="inlineStr">
        <is>
          <t/>
        </is>
      </c>
      <c r="C1621" s="6" t="inlineStr">
        <is>
          <t/>
        </is>
      </c>
      <c r="D1621" s="6" t="inlineStr">
        <is>
          <t/>
        </is>
      </c>
      <c r="E1621" s="6" t="inlineStr">
        <is>
          <t/>
        </is>
      </c>
      <c r="F1621" s="6" t="inlineStr">
        <is>
          <t/>
        </is>
      </c>
      <c r="G1621" s="6" t="inlineStr">
        <is>
          <t/>
        </is>
      </c>
    </row>
    <row r="1622">
      <c r="A1622" s="3" t="inlineStr">
        <is>
          <t>WS 11</t>
        </is>
      </c>
      <c r="B1622" s="2" t="inlineStr">
        <is>
          <t xml:space="preserve">Zásuvka do autozapaľovača </t>
        </is>
      </c>
      <c r="C1622" s="1" t="n">
        <v>1.69</v>
      </c>
      <c r="D1622" s="7" t="n">
        <f>HYPERLINK("https://www.somogyi.sk/product/zasuvka-do-autozapalovaca-ws-11-2364","https://www.somogyi.sk/product/zasuvka-do-autozapalovaca-ws-11-2364")</f>
        <v>0.0</v>
      </c>
      <c r="E1622" s="7" t="n">
        <f>HYPERLINK("https://www.somogyi.sk/data/img/product_main_images/small/02364.jpg","https://www.somogyi.sk/data/img/product_main_images/small/02364.jpg")</f>
        <v>0.0</v>
      </c>
      <c r="F1622" s="2" t="inlineStr">
        <is>
          <t>5998312726709</t>
        </is>
      </c>
      <c r="G1622" s="4" t="inlineStr">
        <is>
          <t xml:space="preserve"> • napätie: 12 /24 V 
 • pozlátená prípojka: nie 
 • skrutkovateľné pripojenie: nie 
 • spájkovateľné pripojenie: nie</t>
        </is>
      </c>
    </row>
    <row r="1623">
      <c r="A1623" s="3" t="inlineStr">
        <is>
          <t>SS 1116/P</t>
        </is>
      </c>
      <c r="B1623" s="2" t="inlineStr">
        <is>
          <t xml:space="preserve">Akumulátorová pripojovacia svorka do auta, pozitívna, pozlátená </t>
        </is>
      </c>
      <c r="C1623" s="1" t="n">
        <v>7.19</v>
      </c>
      <c r="D1623" s="7" t="n">
        <f>HYPERLINK("https://www.somogyi.sk/product/akumulatorova-pripojovacia-svorka-do-auta-pozitivna-pozlatena-ss-1116-p-4624","https://www.somogyi.sk/product/akumulatorova-pripojovacia-svorka-do-auta-pozitivna-pozlatena-ss-1116-p-4624")</f>
        <v>0.0</v>
      </c>
      <c r="E1623" s="7" t="n">
        <f>HYPERLINK("https://www.somogyi.sk/data/img/product_main_images/small/04624.jpg","https://www.somogyi.sk/data/img/product_main_images/small/04624.jpg")</f>
        <v>0.0</v>
      </c>
      <c r="F1623" s="2" t="inlineStr">
        <is>
          <t>5998312740804</t>
        </is>
      </c>
      <c r="G1623" s="4" t="inlineStr">
        <is>
          <t xml:space="preserve"> • pozlátená prípojka: nie 
 • skrutkovateľné pripojenie: 2 x 10² + M8 skrutka s Ø16 mm podložkou 
 • spájkovateľné pripojenie: nie 
 • ďalšie informácie: titánium, s pozlátenými skrutkami</t>
        </is>
      </c>
    </row>
    <row r="1624">
      <c r="A1624" s="3" t="inlineStr">
        <is>
          <t>SS 1116/N</t>
        </is>
      </c>
      <c r="B1624" s="2" t="inlineStr">
        <is>
          <t xml:space="preserve">Akumulátorová pripojovacia svorka do auta, negatívna, pozlátená </t>
        </is>
      </c>
      <c r="C1624" s="1" t="n">
        <v>7.19</v>
      </c>
      <c r="D1624" s="7" t="n">
        <f>HYPERLINK("https://www.somogyi.sk/product/akumulatorova-pripojovacia-svorka-do-auta-negativna-pozlatena-ss-1116-n-4623","https://www.somogyi.sk/product/akumulatorova-pripojovacia-svorka-do-auta-negativna-pozlatena-ss-1116-n-4623")</f>
        <v>0.0</v>
      </c>
      <c r="E1624" s="7" t="n">
        <f>HYPERLINK("https://www.somogyi.sk/data/img/product_main_images/small/04623.jpg","https://www.somogyi.sk/data/img/product_main_images/small/04623.jpg")</f>
        <v>0.0</v>
      </c>
      <c r="F1624" s="2" t="inlineStr">
        <is>
          <t>5998312740798</t>
        </is>
      </c>
      <c r="G1624" s="4" t="inlineStr">
        <is>
          <t xml:space="preserve"> • skrutkovateľné pripojenie: 2 x 10² + M8 skrutka s Ø16 mm podložkou 
 • spájkovateľné pripojenie: nie 
 • ďalšie informácie: titánium, s pozlátenými skrutkami</t>
        </is>
      </c>
    </row>
    <row r="1625">
      <c r="A1625" s="3" t="inlineStr">
        <is>
          <t>SA 022</t>
        </is>
      </c>
      <c r="B1625" s="2" t="inlineStr">
        <is>
          <t>Rozdeľovacia zásuvka autozapaľovača, dvojitá</t>
        </is>
      </c>
      <c r="C1625" s="1" t="n">
        <v>6.09</v>
      </c>
      <c r="D1625" s="7" t="n">
        <f>HYPERLINK("https://www.somogyi.sk/product/rozdelovacia-zasuvka-autozapalovaca-dvojita-sa-022-8544","https://www.somogyi.sk/product/rozdelovacia-zasuvka-autozapalovaca-dvojita-sa-022-8544")</f>
        <v>0.0</v>
      </c>
      <c r="E1625" s="7" t="n">
        <f>HYPERLINK("https://www.somogyi.sk/data/img/product_main_images/small/08544.jpg","https://www.somogyi.sk/data/img/product_main_images/small/08544.jpg")</f>
        <v>0.0</v>
      </c>
      <c r="F1625" s="2" t="inlineStr">
        <is>
          <t>5998312774397</t>
        </is>
      </c>
      <c r="G1625" s="4" t="inlineStr">
        <is>
          <t xml:space="preserve"> • napätie: 12 V DC 
 • zaťažiteľnosť: max. 5 A 
 • výstup: 2 x zásuvka autozapaľovača 
 • pozlátená prípojka: nie 
 • skrutkovateľné pripojenie: nie 
 • spájkovateľné pripojenie: nie</t>
        </is>
      </c>
    </row>
    <row r="1626">
      <c r="A1626" s="3" t="inlineStr">
        <is>
          <t>90779</t>
        </is>
      </c>
      <c r="B1626" s="2" t="inlineStr">
        <is>
          <t>Zásuvka na príves</t>
        </is>
      </c>
      <c r="C1626" s="1" t="n">
        <v>5.99</v>
      </c>
      <c r="D1626" s="7" t="n">
        <f>HYPERLINK("https://www.somogyi.sk/product/zasuvka-na-prives-90779-13820","https://www.somogyi.sk/product/zasuvka-na-prives-90779-13820")</f>
        <v>0.0</v>
      </c>
      <c r="E1626" s="7" t="n">
        <f>HYPERLINK("https://www.somogyi.sk/data/img/product_main_images/small/13820.jpg","https://www.somogyi.sk/data/img/product_main_images/small/13820.jpg")</f>
        <v>0.0</v>
      </c>
      <c r="F1626" s="2" t="inlineStr">
        <is>
          <t>8586017590779</t>
        </is>
      </c>
      <c r="G1626" s="4" t="inlineStr">
        <is>
          <t xml:space="preserve"> • napätie: 12 V 
 • pozlátená prípojka: nie 
 • skrutkovateľné pripojenie: nie 
 • spájkovateľné pripojenie: áno 
 • ďalšie informácie: 7 pólová, ochranný kryt s pružinou 
 • rozmery: Ø70 mm</t>
        </is>
      </c>
    </row>
    <row r="1627">
      <c r="A1627" s="3" t="inlineStr">
        <is>
          <t>91998</t>
        </is>
      </c>
      <c r="B1627" s="2" t="inlineStr">
        <is>
          <t>Autozapaľovač - konektor 8A s poistkou, vypínač</t>
        </is>
      </c>
      <c r="C1627" s="1" t="n">
        <v>6.09</v>
      </c>
      <c r="D1627" s="7" t="n">
        <f>HYPERLINK("https://www.somogyi.sk/product/autozapalovac-konektor-8a-s-poistkou-vypinac-91998-13858","https://www.somogyi.sk/product/autozapalovac-konektor-8a-s-poistkou-vypinac-91998-13858")</f>
        <v>0.0</v>
      </c>
      <c r="E1627" s="7" t="n">
        <f>HYPERLINK("https://www.somogyi.sk/data/img/product_main_images/small/13858.jpg","https://www.somogyi.sk/data/img/product_main_images/small/13858.jpg")</f>
        <v>0.0</v>
      </c>
      <c r="F1627" s="2" t="inlineStr">
        <is>
          <t>8586017591998</t>
        </is>
      </c>
      <c r="G1627" s="4" t="inlineStr">
        <is>
          <t xml:space="preserve"> • napätie: 12 / 24 V 
 • zaťažiteľnosť: 8 A 
 • pozlátená prípojka: nie 
 • skrutkovateľné pripojenie: nie 
 • spájkovateľné pripojenie: áno 
 • ďalšie informácie: Ø5 x 20 mm poistka, za -a vypína</t>
        </is>
      </c>
    </row>
    <row r="1628">
      <c r="A1628" s="3" t="inlineStr">
        <is>
          <t>WS 20</t>
        </is>
      </c>
      <c r="B1628" s="2" t="inlineStr">
        <is>
          <t xml:space="preserve">Vidlica do autozapaľovača, s poistkou 3A </t>
        </is>
      </c>
      <c r="C1628" s="1" t="n">
        <v>1.49</v>
      </c>
      <c r="D1628" s="7" t="n">
        <f>HYPERLINK("https://www.somogyi.sk/product/vidlica-do-autozapalovaca-s-poistkou-3a-ws-20-4219","https://www.somogyi.sk/product/vidlica-do-autozapalovaca-s-poistkou-3a-ws-20-4219")</f>
        <v>0.0</v>
      </c>
      <c r="E1628" s="7" t="n">
        <f>HYPERLINK("https://www.somogyi.sk/data/img/product_main_images/small/04219.jpg","https://www.somogyi.sk/data/img/product_main_images/small/04219.jpg")</f>
        <v>0.0</v>
      </c>
      <c r="F1628" s="2" t="inlineStr">
        <is>
          <t>5998312737521</t>
        </is>
      </c>
      <c r="G1628" s="4" t="inlineStr">
        <is>
          <t xml:space="preserve"> • napätie: 12 V 
 • zaťažiteľnosť: 3 A 
 • pozlátená prípojka: nie 
 • skrutkovateľné pripojenie: nie 
 • spájkovateľné pripojenie: áno 
 • ďalšie informácie: Ø6 x 30 mm poistka</t>
        </is>
      </c>
    </row>
    <row r="1629">
      <c r="A1629" s="3" t="inlineStr">
        <is>
          <t>97242</t>
        </is>
      </c>
      <c r="B1629" s="2" t="inlineStr">
        <is>
          <t>Štartovací kábel, 600 A</t>
        </is>
      </c>
      <c r="C1629" s="1" t="n">
        <v>29.79</v>
      </c>
      <c r="D1629" s="7" t="n">
        <f>HYPERLINK("https://www.somogyi.sk/product/startovaci-kabel-600-a-97242-17705","https://www.somogyi.sk/product/startovaci-kabel-600-a-97242-17705")</f>
        <v>0.0</v>
      </c>
      <c r="E1629" s="7" t="n">
        <f>HYPERLINK("https://www.somogyi.sk/data/img/product_main_images/small/17705.jpg","https://www.somogyi.sk/data/img/product_main_images/small/17705.jpg")</f>
        <v>0.0</v>
      </c>
      <c r="F1629" s="2" t="inlineStr">
        <is>
          <t>8586017597242</t>
        </is>
      </c>
      <c r="G1629" s="4" t="inlineStr">
        <is>
          <t xml:space="preserve"> • napätie: 12 / 24 V 
 • zaťažiteľnosť: max. 600 A 
 • prierez kábla: 6 mm² 
 • dĺžka kábla: 4 m 
 • ďalšie informácie: 99% kvalitná meď / praktická taška</t>
        </is>
      </c>
    </row>
    <row r="1630">
      <c r="A1630" s="3" t="inlineStr">
        <is>
          <t>90762</t>
        </is>
      </c>
      <c r="B1630" s="2" t="inlineStr">
        <is>
          <t>Vidlica na príves</t>
        </is>
      </c>
      <c r="C1630" s="1" t="n">
        <v>5.79</v>
      </c>
      <c r="D1630" s="7" t="n">
        <f>HYPERLINK("https://www.somogyi.sk/product/vidlica-na-prives-90762-13819","https://www.somogyi.sk/product/vidlica-na-prives-90762-13819")</f>
        <v>0.0</v>
      </c>
      <c r="E1630" s="7" t="n">
        <f>HYPERLINK("https://www.somogyi.sk/data/img/product_main_images/small/13819.jpg","https://www.somogyi.sk/data/img/product_main_images/small/13819.jpg")</f>
        <v>0.0</v>
      </c>
      <c r="F1630" s="2" t="inlineStr">
        <is>
          <t>8586017590762</t>
        </is>
      </c>
      <c r="G1630" s="4" t="inlineStr">
        <is>
          <t xml:space="preserve"> • napätie: 12 V 
 • pozlátená prípojka: nie 
 • skrutkovateľné pripojenie: nie 
 • spájkovateľné pripojenie: áno 
 • ďalšie informácie: 7 pólová, kábel chránený</t>
        </is>
      </c>
    </row>
    <row r="1631">
      <c r="A1631" s="6" t="inlineStr">
        <is>
          <t xml:space="preserve">   Príslušenstvo do auta / Anténa, predlžovací kábel k autoanténe</t>
        </is>
      </c>
      <c r="B1631" s="6" t="inlineStr">
        <is>
          <t/>
        </is>
      </c>
      <c r="C1631" s="6" t="inlineStr">
        <is>
          <t/>
        </is>
      </c>
      <c r="D1631" s="6" t="inlineStr">
        <is>
          <t/>
        </is>
      </c>
      <c r="E1631" s="6" t="inlineStr">
        <is>
          <t/>
        </is>
      </c>
      <c r="F1631" s="6" t="inlineStr">
        <is>
          <t/>
        </is>
      </c>
      <c r="G1631" s="6" t="inlineStr">
        <is>
          <t/>
        </is>
      </c>
    </row>
    <row r="1632">
      <c r="A1632" s="3" t="inlineStr">
        <is>
          <t>90595</t>
        </is>
      </c>
      <c r="B1632" s="2" t="inlineStr">
        <is>
          <t>Autoanténa na strechu, 40 cm, fixná</t>
        </is>
      </c>
      <c r="C1632" s="1" t="n">
        <v>7.49</v>
      </c>
      <c r="D1632" s="7" t="n">
        <f>HYPERLINK("https://www.somogyi.sk/product/autoantena-na-strechu-40-cm-fixna-90595-13821","https://www.somogyi.sk/product/autoantena-na-strechu-40-cm-fixna-90595-13821")</f>
        <v>0.0</v>
      </c>
      <c r="E1632" s="7" t="n">
        <f>HYPERLINK("https://www.somogyi.sk/data/img/product_main_images/small/13821.jpg","https://www.somogyi.sk/data/img/product_main_images/small/13821.jpg")</f>
        <v>0.0</v>
      </c>
      <c r="F1632" s="2" t="inlineStr">
        <is>
          <t>8586017590595</t>
        </is>
      </c>
      <c r="G1632" s="4" t="inlineStr">
        <is>
          <t xml:space="preserve"> • umiestnenie vo vozidle: strešná 
 • upevnenie: Ø5 mm skrutkou 
 • nakloniteľná: 52° fixný nastaviteľný uhol 
 • možnosť uzatvoriť kľúčom: nie 
 • dĺžka antény: 400 mm 
 • dĺžka kábla: 3 m 
 • vidlica: DIN 
 • zabudovaný zosilňovač: nie</t>
        </is>
      </c>
    </row>
    <row r="1633">
      <c r="A1633" s="3" t="inlineStr">
        <is>
          <t>90557</t>
        </is>
      </c>
      <c r="B1633" s="2" t="inlineStr">
        <is>
          <t>Autoanténa na strechu, 44 cm, nakloniteľná</t>
        </is>
      </c>
      <c r="C1633" s="1" t="n">
        <v>9.29</v>
      </c>
      <c r="D1633" s="7" t="n">
        <f>HYPERLINK("https://www.somogyi.sk/product/autoantena-na-strechu-44-cm-naklonitelna-90557-13823","https://www.somogyi.sk/product/autoantena-na-strechu-44-cm-naklonitelna-90557-13823")</f>
        <v>0.0</v>
      </c>
      <c r="E1633" s="7" t="n">
        <f>HYPERLINK("https://www.somogyi.sk/data/img/product_main_images/small/13823.jpg","https://www.somogyi.sk/data/img/product_main_images/small/13823.jpg")</f>
        <v>0.0</v>
      </c>
      <c r="F1633" s="2" t="inlineStr">
        <is>
          <t>8586017590557</t>
        </is>
      </c>
      <c r="G1633" s="4" t="inlineStr">
        <is>
          <t xml:space="preserve"> • umiestnenie vo vozidle: strešná 
 • upevnenie: Ø5 mm skrutkou 
 • nakloniteľná: 0 - 45° 
 • možnosť uzatvoriť kľúčom: nie 
 • dĺžka antény: 440 mm 
 • dĺžka kábla: 2 m 
 • vidlica: DIN 
 • zabudovaný zosilňovač: nie</t>
        </is>
      </c>
    </row>
    <row r="1634">
      <c r="A1634" s="3" t="inlineStr">
        <is>
          <t>91110</t>
        </is>
      </c>
      <c r="B1634" s="2" t="inlineStr">
        <is>
          <t xml:space="preserve">Autoanténa so zosilňovačom, možnosť nalepenia na čelné sklo </t>
        </is>
      </c>
      <c r="C1634" s="1" t="n">
        <v>6.99</v>
      </c>
      <c r="D1634" s="7" t="n">
        <f>HYPERLINK("https://www.somogyi.sk/product/autoantena-so-zosilnovacom-moznost-nalepenia-na-celne-sklo-91110-13824","https://www.somogyi.sk/product/autoantena-so-zosilnovacom-moznost-nalepenia-na-celne-sklo-91110-13824")</f>
        <v>0.0</v>
      </c>
      <c r="E1634" s="7" t="n">
        <f>HYPERLINK("https://www.somogyi.sk/data/img/product_main_images/small/13824.jpg","https://www.somogyi.sk/data/img/product_main_images/small/13824.jpg")</f>
        <v>0.0</v>
      </c>
      <c r="F1634" s="2" t="inlineStr">
        <is>
          <t>8586017591110</t>
        </is>
      </c>
      <c r="G1634" s="4" t="inlineStr">
        <is>
          <t xml:space="preserve"> • umiestnenie vo vozidle: na predné sklo 
 • upevnenie: samolepiaca 
 • nakloniteľná: nie 
 • možnosť uzatvoriť kľúčom: nie 
 • dĺžka antény: 340 x 9 mm 
 • dĺžka kábla: 1,9 m 
 • vidlica: DIN 
 • zabudovaný zosilňovač: áno</t>
        </is>
      </c>
    </row>
    <row r="1635">
      <c r="A1635" s="3" t="inlineStr">
        <is>
          <t>93220</t>
        </is>
      </c>
      <c r="B1635" s="2" t="inlineStr">
        <is>
          <t>Autoanténa so zosilňovačom, na strechu,  40cm, fixná</t>
        </is>
      </c>
      <c r="C1635" s="1" t="n">
        <v>9.19</v>
      </c>
      <c r="D1635" s="7" t="n">
        <f>HYPERLINK("https://www.somogyi.sk/product/autoantena-so-zosilnovacom-na-strechu-40cm-fixna-93220-13832","https://www.somogyi.sk/product/autoantena-so-zosilnovacom-na-strechu-40cm-fixna-93220-13832")</f>
        <v>0.0</v>
      </c>
      <c r="E1635" s="7" t="n">
        <f>HYPERLINK("https://www.somogyi.sk/data/img/product_main_images/small/13832.jpg","https://www.somogyi.sk/data/img/product_main_images/small/13832.jpg")</f>
        <v>0.0</v>
      </c>
      <c r="F1635" s="2" t="inlineStr">
        <is>
          <t>8586017593220</t>
        </is>
      </c>
      <c r="G1635" s="4" t="inlineStr">
        <is>
          <t xml:space="preserve"> • umiestnenie vo vozidle: strešná 
 • upevnenie: Ø5 mm skrutkou 
 • nakloniteľná: 52° fixný nastaviteľný uhol 
 • možnosť uzatvoriť kľúčom: nie 
 • dĺžka antény: 400 mm 
 • dĺžka kábla: 3 m 
 • vidlica: DIN 
 • zabudovaný zosilňovač: áno</t>
        </is>
      </c>
    </row>
    <row r="1636">
      <c r="A1636" s="6" t="inlineStr">
        <is>
          <t xml:space="preserve">   Príslušenstvo do auta / Anténová prípojka, reproduktorová prípojka, napájacia prípojka</t>
        </is>
      </c>
      <c r="B1636" s="6" t="inlineStr">
        <is>
          <t/>
        </is>
      </c>
      <c r="C1636" s="6" t="inlineStr">
        <is>
          <t/>
        </is>
      </c>
      <c r="D1636" s="6" t="inlineStr">
        <is>
          <t/>
        </is>
      </c>
      <c r="E1636" s="6" t="inlineStr">
        <is>
          <t/>
        </is>
      </c>
      <c r="F1636" s="6" t="inlineStr">
        <is>
          <t/>
        </is>
      </c>
      <c r="G1636" s="6" t="inlineStr">
        <is>
          <t/>
        </is>
      </c>
    </row>
    <row r="1637">
      <c r="A1637" s="3" t="inlineStr">
        <is>
          <t>SA-ANTCS 001</t>
        </is>
      </c>
      <c r="B1637" s="2" t="inlineStr">
        <is>
          <t xml:space="preserve">Autoanténna redukcia, ISO zás.-DIN vidlica </t>
        </is>
      </c>
      <c r="C1637" s="1" t="n">
        <v>1.59</v>
      </c>
      <c r="D1637" s="7" t="n">
        <f>HYPERLINK("https://www.somogyi.sk/product/autoantenna-redukcia-iso-zas-din-vidlica-sa-antcs-001-7035","https://www.somogyi.sk/product/autoantenna-redukcia-iso-zas-din-vidlica-sa-antcs-001-7035")</f>
        <v>0.0</v>
      </c>
      <c r="E1637" s="7" t="n">
        <f>HYPERLINK("https://www.somogyi.sk/data/img/product_main_images/small/07035.jpg","https://www.somogyi.sk/data/img/product_main_images/small/07035.jpg")</f>
        <v>0.0</v>
      </c>
      <c r="F1637" s="2" t="inlineStr">
        <is>
          <t>5998312760420</t>
        </is>
      </c>
      <c r="G1637" s="4" t="inlineStr">
        <is>
          <t xml:space="preserve"> • funkcia: redukcia ISO - DIN</t>
        </is>
      </c>
    </row>
    <row r="1638">
      <c r="A1638" s="3" t="inlineStr">
        <is>
          <t>ISO 2</t>
        </is>
      </c>
      <c r="B1638" s="2" t="inlineStr">
        <is>
          <t>ISO prípojka pre autorádio,</t>
        </is>
      </c>
      <c r="C1638" s="1" t="n">
        <v>4.19</v>
      </c>
      <c r="D1638" s="7" t="n">
        <f>HYPERLINK("https://www.somogyi.sk/product/iso-pripojka-pre-autoradio-iso-2-4316","https://www.somogyi.sk/product/iso-pripojka-pre-autoradio-iso-2-4316")</f>
        <v>0.0</v>
      </c>
      <c r="E1638" s="7" t="n">
        <f>HYPERLINK("https://www.somogyi.sk/data/img/product_main_images/small/04316.jpg","https://www.somogyi.sk/data/img/product_main_images/small/04316.jpg")</f>
        <v>0.0</v>
      </c>
      <c r="F1638" s="2" t="inlineStr">
        <is>
          <t>5998312737798</t>
        </is>
      </c>
      <c r="G1638" s="4" t="inlineStr">
        <is>
          <t xml:space="preserve"> • funkcia: pár ISO pripojovacích zásuviek, voľné 
 • zapojenie: spájkovateľná 
 • rozmery: 15 cm</t>
        </is>
      </c>
    </row>
    <row r="1639">
      <c r="A1639" s="3" t="inlineStr">
        <is>
          <t>SA-FISO 022</t>
        </is>
      </c>
      <c r="B1639" s="2" t="inlineStr">
        <is>
          <t xml:space="preserve">ISO predlž. pripojovací kábel, pár vidlica/zásuvka </t>
        </is>
      </c>
      <c r="C1639" s="1" t="n">
        <v>6.99</v>
      </c>
      <c r="D1639" s="7" t="n">
        <f>HYPERLINK("https://www.somogyi.sk/product/iso-predlz-pripojovaci-kabel-par-vidlica-zasuvka-sa-fiso-022-7013","https://www.somogyi.sk/product/iso-predlz-pripojovaci-kabel-par-vidlica-zasuvka-sa-fiso-022-7013")</f>
        <v>0.0</v>
      </c>
      <c r="E1639" s="7" t="n">
        <f>HYPERLINK("https://www.somogyi.sk/data/img/product_main_images/small/07013.jpg","https://www.somogyi.sk/data/img/product_main_images/small/07013.jpg")</f>
        <v>0.0</v>
      </c>
      <c r="F1639" s="2" t="inlineStr">
        <is>
          <t>5998312760260</t>
        </is>
      </c>
      <c r="G1639" s="4" t="inlineStr">
        <is>
          <t xml:space="preserve"> • funkcia: ISO pripojovací kábel k autorádiu</t>
        </is>
      </c>
    </row>
    <row r="1640">
      <c r="A1640" s="3" t="inlineStr">
        <is>
          <t>SA-ANTCS 002</t>
        </is>
      </c>
      <c r="B1640" s="2" t="inlineStr">
        <is>
          <t xml:space="preserve">Autoanténna redukcia, DIN zás.-ISO vidlica </t>
        </is>
      </c>
      <c r="C1640" s="1" t="n">
        <v>1.89</v>
      </c>
      <c r="D1640" s="7" t="n">
        <f>HYPERLINK("https://www.somogyi.sk/product/autoantenna-redukcia-din-zas-iso-vidlica-sa-antcs-002-7036","https://www.somogyi.sk/product/autoantenna-redukcia-din-zas-iso-vidlica-sa-antcs-002-7036")</f>
        <v>0.0</v>
      </c>
      <c r="E1640" s="7" t="n">
        <f>HYPERLINK("https://www.somogyi.sk/data/img/product_main_images/small/07036.jpg","https://www.somogyi.sk/data/img/product_main_images/small/07036.jpg")</f>
        <v>0.0</v>
      </c>
      <c r="F1640" s="2" t="inlineStr">
        <is>
          <t>5998312760437</t>
        </is>
      </c>
      <c r="G1640" s="4" t="inlineStr">
        <is>
          <t xml:space="preserve"> • funkcia: redukcia DIN - ISO</t>
        </is>
      </c>
    </row>
    <row r="1641">
      <c r="A1641" s="6" t="inlineStr">
        <is>
          <t xml:space="preserve">   Príslušenstvo do auta / Príslušenstvo do auta, náhradná žiarovka</t>
        </is>
      </c>
      <c r="B1641" s="6" t="inlineStr">
        <is>
          <t/>
        </is>
      </c>
      <c r="C1641" s="6" t="inlineStr">
        <is>
          <t/>
        </is>
      </c>
      <c r="D1641" s="6" t="inlineStr">
        <is>
          <t/>
        </is>
      </c>
      <c r="E1641" s="6" t="inlineStr">
        <is>
          <t/>
        </is>
      </c>
      <c r="F1641" s="6" t="inlineStr">
        <is>
          <t/>
        </is>
      </c>
      <c r="G1641" s="6" t="inlineStr">
        <is>
          <t/>
        </is>
      </c>
    </row>
    <row r="1642">
      <c r="A1642" s="3" t="inlineStr">
        <is>
          <t>90717</t>
        </is>
      </c>
      <c r="B1642" s="2" t="inlineStr">
        <is>
          <t>Nožná pumpa s 3 ventilmi</t>
        </is>
      </c>
      <c r="C1642" s="1" t="n">
        <v>14.19</v>
      </c>
      <c r="D1642" s="7" t="n">
        <f>HYPERLINK("https://www.somogyi.sk/product/nozna-pumpa-s-3-ventilmi-90717-13846","https://www.somogyi.sk/product/nozna-pumpa-s-3-ventilmi-90717-13846")</f>
        <v>0.0</v>
      </c>
      <c r="E1642" s="7" t="n">
        <f>HYPERLINK("https://www.somogyi.sk/data/img/product_main_images/small/13846.jpg","https://www.somogyi.sk/data/img/product_main_images/small/13846.jpg")</f>
        <v>0.0</v>
      </c>
      <c r="F1642" s="2" t="inlineStr">
        <is>
          <t>8586017590717</t>
        </is>
      </c>
      <c r="G1642" s="4" t="inlineStr">
        <is>
          <t xml:space="preserve"> • Zdôraznená charakteristika: merač tlaku do 7 bar 
 • príslušenstvo: 1 + 2 ventilový adaptér</t>
        </is>
      </c>
    </row>
    <row r="1643">
      <c r="A1643" s="3" t="inlineStr">
        <is>
          <t>90304</t>
        </is>
      </c>
      <c r="B1643" s="2" t="inlineStr">
        <is>
          <t>Autokompresor, 12V</t>
        </is>
      </c>
      <c r="C1643" s="1" t="n">
        <v>27.29</v>
      </c>
      <c r="D1643" s="7" t="n">
        <f>HYPERLINK("https://www.somogyi.sk/product/autokompresor-12v-90304-14262","https://www.somogyi.sk/product/autokompresor-12v-90304-14262")</f>
        <v>0.0</v>
      </c>
      <c r="E1643" s="7" t="n">
        <f>HYPERLINK("https://www.somogyi.sk/data/img/product_main_images/small/14262.jpg","https://www.somogyi.sk/data/img/product_main_images/small/14262.jpg")</f>
        <v>0.0</v>
      </c>
      <c r="F1643" s="2" t="inlineStr">
        <is>
          <t>8586017590304</t>
        </is>
      </c>
      <c r="G1643" s="4" t="inlineStr">
        <is>
          <t xml:space="preserve"> • Zdôraznená charakteristika: tlak: max. 18 bar, 250 PSI; spotreba prúdu motora: 10 A; dĺžka kábla: 2,5 m 
 • príslušenstvo: 3 fúkacie nástavce 
 • napájanie: 12 V DC</t>
        </is>
      </c>
    </row>
    <row r="1644">
      <c r="A1644" s="3" t="inlineStr">
        <is>
          <t>VST 01</t>
        </is>
      </c>
      <c r="B1644" s="2" t="inlineStr">
        <is>
          <t>Podnos na volant</t>
        </is>
      </c>
      <c r="C1644" s="1" t="n">
        <v>7.99</v>
      </c>
      <c r="D1644" s="7" t="n">
        <f>HYPERLINK("https://www.somogyi.sk/product/podnos-na-volant-vst-01-16404","https://www.somogyi.sk/product/podnos-na-volant-vst-01-16404")</f>
        <v>0.0</v>
      </c>
      <c r="E1644" s="7" t="n">
        <f>HYPERLINK("https://www.somogyi.sk/data/img/product_main_images/small/16404.jpg","https://www.somogyi.sk/data/img/product_main_images/small/16404.jpg")</f>
        <v>0.0</v>
      </c>
      <c r="F1644" s="2" t="inlineStr">
        <is>
          <t>5999084944360</t>
        </is>
      </c>
      <c r="G1644" s="4" t="inlineStr">
        <is>
          <t xml:space="preserve"> • zaťažiteľnosť: max. 5 kg 
 • rozmery: 420 x 280 x 22 mm / rozmery držiaka pohára: Ø75 mm</t>
        </is>
      </c>
    </row>
    <row r="1645">
      <c r="A1645" s="3" t="inlineStr">
        <is>
          <t>90205</t>
        </is>
      </c>
      <c r="B1645" s="2" t="inlineStr">
        <is>
          <t>Vyhrievaný poťah na sedadlo</t>
        </is>
      </c>
      <c r="C1645" s="1" t="n">
        <v>25.89</v>
      </c>
      <c r="D1645" s="7" t="n">
        <f>HYPERLINK("https://www.somogyi.sk/product/vyhrievany-potah-na-sedadlo-90205-13772","https://www.somogyi.sk/product/vyhrievany-potah-na-sedadlo-90205-13772")</f>
        <v>0.0</v>
      </c>
      <c r="E1645" s="7" t="n">
        <f>HYPERLINK("https://www.somogyi.sk/data/img/product_main_images/small/13772.jpg","https://www.somogyi.sk/data/img/product_main_images/small/13772.jpg")</f>
        <v>0.0</v>
      </c>
      <c r="F1645" s="2" t="inlineStr">
        <is>
          <t>8586017590205</t>
        </is>
      </c>
      <c r="G1645" s="4" t="inlineStr">
        <is>
          <t xml:space="preserve"> • Zdôraznená charakteristika: 2 stupne ohrievania, rýchle uchytenie pomocou pružných ramienok a priložených háčikov 
 • príslušenstvo: háčiky 
 • napájanie: 12 V DC 
 • rozmery: 440 x 400/440 x 440 mm</t>
        </is>
      </c>
    </row>
    <row r="1646">
      <c r="A1646" s="3" t="inlineStr">
        <is>
          <t>91769</t>
        </is>
      </c>
      <c r="B1646" s="2" t="inlineStr">
        <is>
          <t>Merač tlaku v pneumatikách</t>
        </is>
      </c>
      <c r="C1646" s="1" t="n">
        <v>8.29</v>
      </c>
      <c r="D1646" s="7" t="n">
        <f>HYPERLINK("https://www.somogyi.sk/product/merac-tlaku-v-pneumatikach-91769-13777","https://www.somogyi.sk/product/merac-tlaku-v-pneumatikach-91769-13777")</f>
        <v>0.0</v>
      </c>
      <c r="E1646" s="7" t="n">
        <f>HYPERLINK("https://www.somogyi.sk/data/img/product_main_images/small/13777.jpg","https://www.somogyi.sk/data/img/product_main_images/small/13777.jpg")</f>
        <v>0.0</v>
      </c>
      <c r="F1646" s="2" t="inlineStr">
        <is>
          <t>8586017591769</t>
        </is>
      </c>
      <c r="G1646" s="4" t="inlineStr">
        <is>
          <t xml:space="preserve"> • Zdôraznená charakteristika: kovové prevedenie, rozsah merania: 0,5 - 7,5 bar</t>
        </is>
      </c>
    </row>
    <row r="1647">
      <c r="A1647" s="6" t="inlineStr">
        <is>
          <t xml:space="preserve">   Príslušenstvo do auta / Starostlivosť o auto</t>
        </is>
      </c>
      <c r="B1647" s="6" t="inlineStr">
        <is>
          <t/>
        </is>
      </c>
      <c r="C1647" s="6" t="inlineStr">
        <is>
          <t/>
        </is>
      </c>
      <c r="D1647" s="6" t="inlineStr">
        <is>
          <t/>
        </is>
      </c>
      <c r="E1647" s="6" t="inlineStr">
        <is>
          <t/>
        </is>
      </c>
      <c r="F1647" s="6" t="inlineStr">
        <is>
          <t/>
        </is>
      </c>
      <c r="G1647" s="6" t="inlineStr">
        <is>
          <t/>
        </is>
      </c>
    </row>
    <row r="1648">
      <c r="A1648" s="3" t="inlineStr">
        <is>
          <t>W 340</t>
        </is>
      </c>
      <c r="B1648" s="2" t="inlineStr">
        <is>
          <t>Silikónový sprej, 300 ml</t>
        </is>
      </c>
      <c r="C1648" s="1" t="n">
        <v>5.19</v>
      </c>
      <c r="D1648" s="7" t="n">
        <f>HYPERLINK("https://www.somogyi.sk/product/silikonovy-sprej-300-ml-w-340-3175","https://www.somogyi.sk/product/silikonovy-sprej-300-ml-w-340-3175")</f>
        <v>0.0</v>
      </c>
      <c r="E1648" s="7" t="n">
        <f>HYPERLINK("https://www.somogyi.sk/data/img/product_main_images/small/03175.jpg","https://www.somogyi.sk/data/img/product_main_images/small/03175.jpg")</f>
        <v>0.0</v>
      </c>
      <c r="F1648" s="2" t="inlineStr">
        <is>
          <t>5997539300549</t>
        </is>
      </c>
      <c r="G1648" s="4" t="inlineStr">
        <is>
          <t xml:space="preserve"> • funkcia/prevedenie: Silikón 
 • Zdôraznená charakteristika: Vhodný na ošetrenie pohyblivých kovových častí elektromotorov. Chráni ich proti vlhkosti 
 • balenie: 300 ml 
 • oblasť použitia: priemysel, autopriemysel</t>
        </is>
      </c>
    </row>
    <row r="1649">
      <c r="A1649" s="6" t="inlineStr">
        <is>
          <t xml:space="preserve">   Príslušenstvo do auta / Elektrická kolobežka</t>
        </is>
      </c>
      <c r="B1649" s="6" t="inlineStr">
        <is>
          <t/>
        </is>
      </c>
      <c r="C1649" s="6" t="inlineStr">
        <is>
          <t/>
        </is>
      </c>
      <c r="D1649" s="6" t="inlineStr">
        <is>
          <t/>
        </is>
      </c>
      <c r="E1649" s="6" t="inlineStr">
        <is>
          <t/>
        </is>
      </c>
      <c r="F1649" s="6" t="inlineStr">
        <is>
          <t/>
        </is>
      </c>
      <c r="G1649" s="6" t="inlineStr">
        <is>
          <t/>
        </is>
      </c>
    </row>
    <row r="1650">
      <c r="A1650" s="3" t="inlineStr">
        <is>
          <t>AA.05.12.01.0003</t>
        </is>
      </c>
      <c r="B1650" s="2" t="inlineStr">
        <is>
          <t>Segway Ninebot F2 E</t>
        </is>
      </c>
      <c r="C1650" s="1" t="n">
        <v>546.9</v>
      </c>
      <c r="D1650" s="7" t="n">
        <f>HYPERLINK("https://www.somogyi.sk/product/segway-ninebot-f2-e-aa-05-12-01-0003-18279","https://www.somogyi.sk/product/segway-ninebot-f2-e-aa-05-12-01-0003-18279")</f>
        <v>0.0</v>
      </c>
      <c r="E1650" s="7" t="n">
        <f>HYPERLINK("https://www.somogyi.sk/data/img/product_main_images/small/18279.jpg","https://www.somogyi.sk/data/img/product_main_images/small/18279.jpg")</f>
        <v>0.0</v>
      </c>
      <c r="F1650" s="2" t="inlineStr">
        <is>
          <t>8720254406442</t>
        </is>
      </c>
      <c r="G1650" s="4" t="inlineStr">
        <is>
          <t xml:space="preserve"> • výkon: 400 W 
 • zaťažiteľnosť: maximálna nosnosť: 120 kg 
 • akumulátor: 367 Wh (10200 mAh) • čas nabíjania: cca. 6,5 h 
 • rýchlosť: max. rýchlosť: 25 km/h 
 •  
 • IP ochrana: IPX5 
 • hmotnosť: netto hmotnosť: 17.5 kg</t>
        </is>
      </c>
    </row>
    <row r="1651">
      <c r="A1651" s="6" t="inlineStr">
        <is>
          <t>Home Kids</t>
        </is>
      </c>
      <c r="B1651" s="6" t="inlineStr">
        <is>
          <t/>
        </is>
      </c>
      <c r="C1651" s="6" t="inlineStr">
        <is>
          <t/>
        </is>
      </c>
      <c r="D1651" s="6" t="inlineStr">
        <is>
          <t/>
        </is>
      </c>
      <c r="E1651" s="6" t="inlineStr">
        <is>
          <t/>
        </is>
      </c>
      <c r="F1651" s="6" t="inlineStr">
        <is>
          <t/>
        </is>
      </c>
      <c r="G1651" s="6" t="inlineStr">
        <is>
          <t/>
        </is>
      </c>
    </row>
    <row r="1652">
      <c r="A1652" s="3" t="inlineStr">
        <is>
          <t>VUK ML01</t>
        </is>
      </c>
      <c r="B1652" s="2" t="inlineStr">
        <is>
          <t>Stropné svietidlo, VUK</t>
        </is>
      </c>
      <c r="C1652" s="1" t="n">
        <v>4.49</v>
      </c>
      <c r="D1652" s="7" t="n">
        <f>HYPERLINK("https://www.somogyi.sk/product/stropne-svietidlo-vuk-vuk-ml01-16120","https://www.somogyi.sk/product/stropne-svietidlo-vuk-vuk-ml01-16120")</f>
        <v>0.0</v>
      </c>
      <c r="E1652" s="7" t="n">
        <f>HYPERLINK("https://www.somogyi.sk/data/img/product_main_images/small/16120.jpg","https://www.somogyi.sk/data/img/product_main_images/small/16120.jpg")</f>
        <v>0.0</v>
      </c>
      <c r="F1652" s="2" t="inlineStr">
        <is>
          <t>5999084941529</t>
        </is>
      </c>
      <c r="G1652" s="4" t="inlineStr">
        <is>
          <t xml:space="preserve"> • funkcia: typ objímky: E14/max 13 W, zdroj svetla nie je príslušenstvom 
 • ďalšie informácie: 2in1, otočením dekoračného okraja zmena farby 
 • napájanie: 230 V~ 
 • rozmery: 328 x 295 x 75 mm, s rámom</t>
        </is>
      </c>
    </row>
    <row r="1653">
      <c r="A1653" s="3" t="inlineStr">
        <is>
          <t>PM 01/BG</t>
        </is>
      </c>
      <c r="B1653" s="2" t="inlineStr">
        <is>
          <t>Nočné svetlo medveď</t>
        </is>
      </c>
      <c r="C1653" s="1" t="n">
        <v>20.49</v>
      </c>
      <c r="D1653" s="7" t="n">
        <f>HYPERLINK("https://www.somogyi.sk/product/nocne-svetlo-medved-pm-01-bg-15999","https://www.somogyi.sk/product/nocne-svetlo-medved-pm-01-bg-15999")</f>
        <v>0.0</v>
      </c>
      <c r="E1653" s="7" t="n">
        <f>HYPERLINK("https://www.somogyi.sk/data/img/product_main_images/small/15999.jpg","https://www.somogyi.sk/data/img/product_main_images/small/15999.jpg")</f>
        <v>0.0</v>
      </c>
      <c r="F1653" s="2" t="inlineStr">
        <is>
          <t>5999084940317</t>
        </is>
      </c>
      <c r="G1653" s="4" t="inlineStr">
        <is>
          <t xml:space="preserve"> • voliteľná zmena farieb LED 
 • mäkký, jemný plyš prijemný na dotyk 
 • dekorácia a nočné svetlo v jednom 
 • večer pomáha deťom ľahšie zaspať 
 • možnosť použiť aj ako vankúšik 
 • napájanie: 3 x 1,5 (AA) batéria, nie je príslušenstvom 
 • Svetelné zdroje LED vo svietidle sa nedajú vymeniť! 
 • Tento výrobok nie je určený na domáce osvetlenie; používajte na dekoračné osvetlenie.</t>
        </is>
      </c>
    </row>
    <row r="1654">
      <c r="A1654" s="3" t="inlineStr">
        <is>
          <t>VUK LC02</t>
        </is>
      </c>
      <c r="B1654" s="2" t="inlineStr">
        <is>
          <t>LED nočné svetlo, living color, RGB, nabíjateľné, s adaptérom</t>
        </is>
      </c>
      <c r="C1654" s="1" t="n">
        <v>6.39</v>
      </c>
      <c r="D1654" s="7" t="n">
        <f>HYPERLINK("https://www.somogyi.sk/product/led-nocne-svetlo-living-color-rgb-nabijatelne-s-adapterom-vuk-lc02-16123","https://www.somogyi.sk/product/led-nocne-svetlo-living-color-rgb-nabijatelne-s-adapterom-vuk-lc02-16123")</f>
        <v>0.0</v>
      </c>
      <c r="E1654" s="7" t="n">
        <f>HYPERLINK("https://www.somogyi.sk/data/img/product_main_images/small/16123.jpg","https://www.somogyi.sk/data/img/product_main_images/small/16123.jpg")</f>
        <v>0.0</v>
      </c>
      <c r="F1654" s="2" t="inlineStr">
        <is>
          <t>5999084941550</t>
        </is>
      </c>
      <c r="G1654" s="4" t="inlineStr">
        <is>
          <t xml:space="preserve"> • napájanie: 5 V / 350 mAh akumulátor 
 • rozmery: ∅75 x 85 mm 
 • príslušenstvo: USB nabíjací kábel</t>
        </is>
      </c>
    </row>
    <row r="1655">
      <c r="A1655" s="3" t="inlineStr">
        <is>
          <t>BB AL01</t>
        </is>
      </c>
      <c r="B1655" s="2" t="inlineStr">
        <is>
          <t>Stolné svietidlo, Bambuľko a Bulienka</t>
        </is>
      </c>
      <c r="C1655" s="1" t="n">
        <v>5.69</v>
      </c>
      <c r="D1655" s="7" t="n">
        <f>HYPERLINK("https://www.somogyi.sk/product/stolne-svietidlo-bambulko-a-bulienka-bb-al01-16122","https://www.somogyi.sk/product/stolne-svietidlo-bambulko-a-bulienka-bb-al01-16122")</f>
        <v>0.0</v>
      </c>
      <c r="E1655" s="7" t="n">
        <f>HYPERLINK("https://www.somogyi.sk/data/img/product_main_images/small/16122.jpg","https://www.somogyi.sk/data/img/product_main_images/small/16122.jpg")</f>
        <v>0.0</v>
      </c>
      <c r="F1655" s="2" t="inlineStr">
        <is>
          <t>5999084941543</t>
        </is>
      </c>
      <c r="G1655" s="4" t="inlineStr">
        <is>
          <t xml:space="preserve"> • funkcia: typ objímky: E14/max 25W, zdroj svetla nie je príslušenstvom 
 • ďalšie informácie: materiál: kovové   plastové telo, kryt z plátna 
 • napájanie: 230 V~ 
 • rozmery: Ø150 x 400 mm</t>
        </is>
      </c>
    </row>
    <row r="1656">
      <c r="A1656" s="6" t="inlineStr">
        <is>
          <t xml:space="preserve">   Príslušenstvo k mobilom, adaptéry / Držiak na mobil</t>
        </is>
      </c>
      <c r="B1656" s="6" t="inlineStr">
        <is>
          <t/>
        </is>
      </c>
      <c r="C1656" s="6" t="inlineStr">
        <is>
          <t/>
        </is>
      </c>
      <c r="D1656" s="6" t="inlineStr">
        <is>
          <t/>
        </is>
      </c>
      <c r="E1656" s="6" t="inlineStr">
        <is>
          <t/>
        </is>
      </c>
      <c r="F1656" s="6" t="inlineStr">
        <is>
          <t/>
        </is>
      </c>
      <c r="G1656" s="6" t="inlineStr">
        <is>
          <t/>
        </is>
      </c>
    </row>
    <row r="1657">
      <c r="A1657" s="3" t="inlineStr">
        <is>
          <t>SA064</t>
        </is>
      </c>
      <c r="B1657" s="2" t="inlineStr">
        <is>
          <t>Držiak mobilného telefónu do auta, gravitačný</t>
        </is>
      </c>
      <c r="C1657" s="1" t="n">
        <v>4.49</v>
      </c>
      <c r="D1657" s="7" t="n">
        <f>HYPERLINK("https://www.somogyi.sk/product/drziak-mobilneho-telefonu-do-auta-gravitacny-sa064-18374","https://www.somogyi.sk/product/drziak-mobilneho-telefonu-do-auta-gravitacny-sa064-18374")</f>
        <v>0.0</v>
      </c>
      <c r="E1657" s="7" t="n">
        <f>HYPERLINK("https://www.somogyi.sk/data/img/product_main_images/small/18374.jpg","https://www.somogyi.sk/data/img/product_main_images/small/18374.jpg")</f>
        <v>0.0</v>
      </c>
      <c r="F1657" s="2" t="inlineStr">
        <is>
          <t>5999084963927</t>
        </is>
      </c>
      <c r="G1657" s="4" t="inlineStr">
        <is>
          <t xml:space="preserve"> • farba: čierna 
 • rozmer držiaka: 115 x 40 mm 
 •  
 • charakteristiky: jednoručné, rýchle, jednoduché, tiché používanie • automaticky sa prispôsobí veľkosti telefónu</t>
        </is>
      </c>
    </row>
    <row r="1658">
      <c r="A1658" s="3" t="inlineStr">
        <is>
          <t>SA065</t>
        </is>
      </c>
      <c r="B1658" s="2" t="inlineStr">
        <is>
          <t>Držiak mobilného telefónu na bicykel</t>
        </is>
      </c>
      <c r="C1658" s="1" t="n">
        <v>18.39</v>
      </c>
      <c r="D1658" s="7" t="n">
        <f>HYPERLINK("https://www.somogyi.sk/product/drziak-mobilneho-telefonu-na-bicykel-sa065-18376","https://www.somogyi.sk/product/drziak-mobilneho-telefonu-na-bicykel-sa065-18376")</f>
        <v>0.0</v>
      </c>
      <c r="E1658" s="7" t="n">
        <f>HYPERLINK("https://www.somogyi.sk/data/img/product_main_images/small/18376.jpg","https://www.somogyi.sk/data/img/product_main_images/small/18376.jpg")</f>
        <v>0.0</v>
      </c>
      <c r="F1658" s="2" t="inlineStr">
        <is>
          <t>5999084963941</t>
        </is>
      </c>
      <c r="G1658" s="4" t="inlineStr">
        <is>
          <t xml:space="preserve"> • farba: čierna 
 •  
 •  
 • vlastnosť: rohy telefónu sú chránené pri páde alebo nehode • gumové a silikónové vložky pre nekĺzavú montáž bez škrabancov</t>
        </is>
      </c>
    </row>
    <row r="1659">
      <c r="A1659" s="3" t="inlineStr">
        <is>
          <t>SA063</t>
        </is>
      </c>
      <c r="B1659" s="2" t="inlineStr">
        <is>
          <t>Držiak mobilného telefónu do auta</t>
        </is>
      </c>
      <c r="C1659" s="1" t="n">
        <v>12.69</v>
      </c>
      <c r="D1659" s="7" t="n">
        <f>HYPERLINK("https://www.somogyi.sk/product/drziak-mobilneho-telefonu-do-auta-sa063-18375","https://www.somogyi.sk/product/drziak-mobilneho-telefonu-do-auta-sa063-18375")</f>
        <v>0.0</v>
      </c>
      <c r="E1659" s="7" t="n">
        <f>HYPERLINK("https://www.somogyi.sk/data/img/product_main_images/small/18375.jpg","https://www.somogyi.sk/data/img/product_main_images/small/18375.jpg")</f>
        <v>0.0</v>
      </c>
      <c r="F1659" s="2" t="inlineStr">
        <is>
          <t>5999084963934</t>
        </is>
      </c>
      <c r="G1659" s="4" t="inlineStr">
        <is>
          <t xml:space="preserve"> • farba: čierna 
 •  
 • charakteristiky: jednoručné, rýchle a jednoduché použitie • upevňovacie úchytky, ktoré sa otvárajú stlačením tlačidla • vysúvateľné spodné nožičky • silikónové povrchy chránia telefón</t>
        </is>
      </c>
    </row>
    <row r="1660">
      <c r="A1660" s="3" t="inlineStr">
        <is>
          <t>SA 024</t>
        </is>
      </c>
      <c r="B1660" s="2" t="inlineStr">
        <is>
          <t>Univerzálny držiak do auta, s prísavkou</t>
        </is>
      </c>
      <c r="C1660" s="1" t="n">
        <v>13.79</v>
      </c>
      <c r="D1660" s="7" t="n">
        <f>HYPERLINK("https://www.somogyi.sk/product/univerzalny-drziak-do-auta-s-prisavkou-sa-024-8547","https://www.somogyi.sk/product/univerzalny-drziak-do-auta-s-prisavkou-sa-024-8547")</f>
        <v>0.0</v>
      </c>
      <c r="E1660" s="7" t="n">
        <f>HYPERLINK("https://www.somogyi.sk/data/img/product_main_images/small/08547.jpg","https://www.somogyi.sk/data/img/product_main_images/small/08547.jpg")</f>
        <v>0.0</v>
      </c>
      <c r="F1660" s="2" t="inlineStr">
        <is>
          <t>5998312774427</t>
        </is>
      </c>
      <c r="G1660" s="4" t="inlineStr">
        <is>
          <t xml:space="preserve"> • farba: čierna 
 • vhodný pre zariadenie s rozmermi: max. 115 mm 
 • rozmer držiaka: - 
 • nastavenie držiaka: otočný  o 360° 
 • uchytenie / umiestnenie držiaka: na predné sklo</t>
        </is>
      </c>
    </row>
    <row r="1661">
      <c r="A1661" s="3" t="inlineStr">
        <is>
          <t>SA 062</t>
        </is>
      </c>
      <c r="B1661" s="2" t="inlineStr">
        <is>
          <t>Držiak mobilu do auta, 2in1</t>
        </is>
      </c>
      <c r="C1661" s="1" t="n">
        <v>4.49</v>
      </c>
      <c r="D1661" s="7" t="n">
        <f>HYPERLINK("https://www.somogyi.sk/product/drziak-mobilu-do-auta-2in1-sa-062-18182","https://www.somogyi.sk/product/drziak-mobilu-do-auta-2in1-sa-062-18182")</f>
        <v>0.0</v>
      </c>
      <c r="E1661" s="7" t="n">
        <f>HYPERLINK("https://www.somogyi.sk/data/img/product_main_images/small/18182.jpg","https://www.somogyi.sk/data/img/product_main_images/small/18182.jpg")</f>
        <v>0.0</v>
      </c>
      <c r="F1661" s="2" t="inlineStr">
        <is>
          <t>5999084962043</t>
        </is>
      </c>
      <c r="G1661" s="4" t="inlineStr">
        <is>
          <t xml:space="preserve"> • farba: čierna farba 
 • vhodný pre zariadenie s rozmermi: max. šírka telefónu: ~ 85 mm 
 • uchytenie / umiestnenie držiaka: dá sa pripevniť na tyč opierky hlavy a otáčať 
 • funkcia: 2v1: držiak na mobilný telefón a vešiak 
 • rozmery: 10-16 mm 
 • ďalšie informácie: nosnosť vešiaka: 4-10 kg (v závislosti od polohy spony)</t>
        </is>
      </c>
    </row>
    <row r="1662">
      <c r="A1662" s="3" t="inlineStr">
        <is>
          <t>SA066</t>
        </is>
      </c>
      <c r="B1662" s="2" t="inlineStr">
        <is>
          <t>Držiak na mobil a tablet na opierku na hlavu, 2in1</t>
        </is>
      </c>
      <c r="C1662" s="1" t="n">
        <v>12.29</v>
      </c>
      <c r="D1662" s="7" t="n">
        <f>HYPERLINK("https://www.somogyi.sk/product/drziak-na-mobil-a-tablet-na-opierku-na-hlavu-2in1-sa066-18564","https://www.somogyi.sk/product/drziak-na-mobil-a-tablet-na-opierku-na-hlavu-2in1-sa066-18564")</f>
        <v>0.0</v>
      </c>
      <c r="E1662" s="7" t="n">
        <f>HYPERLINK("https://www.somogyi.sk/data/img/product_main_images/small/18564.jpg","https://www.somogyi.sk/data/img/product_main_images/small/18564.jpg")</f>
        <v>0.0</v>
      </c>
      <c r="F1662" s="2" t="inlineStr">
        <is>
          <t>5999084965822</t>
        </is>
      </c>
      <c r="G1662" s="4" t="inlineStr">
        <is>
          <t xml:space="preserve"> • vhodný pre zariadenie s rozmermi: zariadenia s obrazovkou ~4.7-12.9” 
 • nastavenie držiaka: dá sa otáčať o 360 stupňov 
 • uchytenie / umiestnenie držiaka: možno pripevniť na kovovú tyč opierky hlavy 
 • materiál: ABS plast, kov, pogumované povrchy 
 • ďalšie informácie: priemer nosnej tyče: 10-14 mm</t>
        </is>
      </c>
    </row>
    <row r="1663">
      <c r="A1663" s="6" t="inlineStr">
        <is>
          <t xml:space="preserve">   Príslušenstvo k mobilom, adaptéry / USB nabíjačka</t>
        </is>
      </c>
      <c r="B1663" s="6" t="inlineStr">
        <is>
          <t/>
        </is>
      </c>
      <c r="C1663" s="6" t="inlineStr">
        <is>
          <t/>
        </is>
      </c>
      <c r="D1663" s="6" t="inlineStr">
        <is>
          <t/>
        </is>
      </c>
      <c r="E1663" s="6" t="inlineStr">
        <is>
          <t/>
        </is>
      </c>
      <c r="F1663" s="6" t="inlineStr">
        <is>
          <t/>
        </is>
      </c>
      <c r="G1663" s="6" t="inlineStr">
        <is>
          <t/>
        </is>
      </c>
    </row>
    <row r="1664">
      <c r="A1664" s="3" t="inlineStr">
        <is>
          <t>SAU 24C</t>
        </is>
      </c>
      <c r="B1664" s="2" t="inlineStr">
        <is>
          <t>Autonabíjačka 2in1</t>
        </is>
      </c>
      <c r="C1664" s="1" t="n">
        <v>5.99</v>
      </c>
      <c r="D1664" s="7" t="n">
        <f>HYPERLINK("https://www.somogyi.sk/product/autonabijacka-2in1-sau-24c-17702","https://www.somogyi.sk/product/autonabijacka-2in1-sau-24c-17702")</f>
        <v>0.0</v>
      </c>
      <c r="E1664" s="7" t="n">
        <f>HYPERLINK("https://www.somogyi.sk/data/img/product_main_images/small/17702.jpg","https://www.somogyi.sk/data/img/product_main_images/small/17702.jpg")</f>
        <v>0.0</v>
      </c>
      <c r="F1664" s="2" t="inlineStr">
        <is>
          <t>5999084957247</t>
        </is>
      </c>
      <c r="G1664" s="4" t="inlineStr">
        <is>
          <t xml:space="preserve"> • vstup: 12 - 24 V DC 
 • výstup: 5 V 2,4 A súhrnná zaťažiteľnosť (USB: 5 V / 2,4 A max. / USB-C: 5 V / 2,1 A max.) 
 • farba: čierna</t>
        </is>
      </c>
    </row>
    <row r="1665">
      <c r="A1665" s="3" t="inlineStr">
        <is>
          <t>SAU34AC</t>
        </is>
      </c>
      <c r="B1665" s="2" t="inlineStr">
        <is>
          <t>USB-A USB-C nabíjačka do auta</t>
        </is>
      </c>
      <c r="C1665" s="1" t="n">
        <v>4.09</v>
      </c>
      <c r="D1665" s="7" t="n">
        <f>HYPERLINK("https://www.somogyi.sk/product/usb-a-usb-c-nabijacka-do-auta-sau34ac-18708","https://www.somogyi.sk/product/usb-a-usb-c-nabijacka-do-auta-sau34ac-18708")</f>
        <v>0.0</v>
      </c>
      <c r="E1665" s="7" t="n">
        <f>HYPERLINK("https://www.somogyi.sk/data/img/product_main_images/small/18708.jpg","https://www.somogyi.sk/data/img/product_main_images/small/18708.jpg")</f>
        <v>0.0</v>
      </c>
      <c r="F1665" s="2" t="inlineStr">
        <is>
          <t>5999084967260</t>
        </is>
      </c>
      <c r="G1665" s="4" t="inlineStr">
        <is>
          <t xml:space="preserve"> • vstup: 12 - 24 V DC 
 • výstup: 5 V / 3,4 A celková zaťažiteľnosť (USB-A: 5 V / 3,4 A max. / USB-C: 5 V / 3,1 A max.) 
 • farba: čierna 
 • výstupná prípojka: USB-A zásuvka   USB-C zásuvka</t>
        </is>
      </c>
    </row>
    <row r="1666">
      <c r="A1666" s="3" t="inlineStr">
        <is>
          <t>NEB-PST-0004-G</t>
        </is>
      </c>
      <c r="B1666" s="2" t="inlineStr">
        <is>
          <t>RAMBLER PS100</t>
        </is>
      </c>
      <c r="C1666" s="1" t="n">
        <v>283.9</v>
      </c>
      <c r="D1666" s="7" t="n">
        <f>HYPERLINK("https://www.somogyi.sk/product/rambler-ps100-neb-pst-0004-g-18238","https://www.somogyi.sk/product/rambler-ps100-neb-pst-0004-g-18238")</f>
        <v>0.0</v>
      </c>
      <c r="E1666" s="7" t="n">
        <f>HYPERLINK("https://www.somogyi.sk/data/img/product_main_images/small/18238.jpg","https://www.somogyi.sk/data/img/product_main_images/small/18238.jpg")</f>
        <v>0.0</v>
      </c>
      <c r="F1666" s="2" t="inlineStr">
        <is>
          <t>5060945230844</t>
        </is>
      </c>
      <c r="G1666" s="4" t="inlineStr">
        <is>
          <t xml:space="preserve"> • kapacita: 94,9 Wh 
 • vstup: vstup a výstup: 1x USB-C PD (45 W) • DC vstup: 12-24 V (max. 50 W), kompatibilný so solárnym panelom 
 • výstup: 2x USB-A (5 V / 2,4 A) 
 •  
 • LED lampa: 385 lm 
 • charakteristiky: LED kontrolka nabitia • digitálny displej 
 • príslušenstvo: 20 W nabíjací adaptér USB-PD, cca. 60 cm USB-C kábel, 12 V DC napájací kábel</t>
        </is>
      </c>
    </row>
    <row r="1667">
      <c r="A1667" s="3" t="inlineStr">
        <is>
          <t>NEB-PBK-0004-G</t>
        </is>
      </c>
      <c r="B1667" s="2" t="inlineStr">
        <is>
          <t>Assist Air Jump Starter</t>
        </is>
      </c>
      <c r="C1667" s="1" t="n">
        <v>265.9</v>
      </c>
      <c r="D1667" s="7" t="n">
        <f>HYPERLINK("https://www.somogyi.sk/product/assist-air-jump-starter-neb-pbk-0004-g-18237","https://www.somogyi.sk/product/assist-air-jump-starter-neb-pbk-0004-g-18237")</f>
        <v>0.0</v>
      </c>
      <c r="E1667" s="7" t="n">
        <f>HYPERLINK("https://www.somogyi.sk/data/img/product_main_images/small/18237.jpg","https://www.somogyi.sk/data/img/product_main_images/small/18237.jpg")</f>
        <v>0.0</v>
      </c>
      <c r="F1667" s="2" t="inlineStr">
        <is>
          <t>5060945230875</t>
        </is>
      </c>
      <c r="G1667" s="4" t="inlineStr">
        <is>
          <t xml:space="preserve"> • vstup: vstup a výstup:1x USB-C rýchlonabíjačka (max. 20 W) 
 • výstup: USB-A (5 V / 2,1 A) 
 • ostatné funkcie: digitálny vzduchový kompresor: 8,3 bar (120 PSI), automatická detekcia 
 • N/A: max.1500 A 
 • zabudovaný akumulátor: 55,5 Wh 
 • LED lampa: 200 lm 
 • charakteristiky: LED kontrolka nabitia • digitálny displej 
 • rozmery: 251 x 124 x 46 mm 
 • hmotnosť: 1,3 kg</t>
        </is>
      </c>
    </row>
    <row r="1668">
      <c r="A1668" s="3" t="inlineStr">
        <is>
          <t>NEB-PBK-0006-G</t>
        </is>
      </c>
      <c r="B1668" s="2" t="inlineStr">
        <is>
          <t>NEBO ULTIMATE</t>
        </is>
      </c>
      <c r="C1668" s="1" t="n">
        <v>289.9</v>
      </c>
      <c r="D1668" s="7" t="n">
        <f>HYPERLINK("https://www.somogyi.sk/product/nebo-ultimate-neb-pbk-0006-g-18463","https://www.somogyi.sk/product/nebo-ultimate-neb-pbk-0006-g-18463")</f>
        <v>0.0</v>
      </c>
      <c r="E1668" s="7" t="n">
        <f>HYPERLINK("https://www.somogyi.sk/data/img/product_main_images/small/18463.jpg","https://www.somogyi.sk/data/img/product_main_images/small/18463.jpg")</f>
        <v>0.0</v>
      </c>
      <c r="F1668" s="2" t="inlineStr">
        <is>
          <t>5060945230943</t>
        </is>
      </c>
      <c r="G1668" s="4" t="inlineStr">
        <is>
          <t xml:space="preserve"> • kapacita: 55 500 mWh 
 •  
 •  
 • rozmery: (dxšxv) 275 x 143 x 57 
 • hmotnosť: 1150 g</t>
        </is>
      </c>
    </row>
    <row r="1669">
      <c r="A1669" s="3" t="inlineStr">
        <is>
          <t>SA 24USB</t>
        </is>
      </c>
      <c r="B1669" s="2" t="inlineStr">
        <is>
          <t>USB sieťová nabíjačka, 2.4A</t>
        </is>
      </c>
      <c r="C1669" s="1" t="n">
        <v>9.29</v>
      </c>
      <c r="D1669" s="7" t="n">
        <f>HYPERLINK("https://www.somogyi.sk/product/usb-sietova-nabijacka-2-4a-sa-24usb-16880","https://www.somogyi.sk/product/usb-sietova-nabijacka-2-4a-sa-24usb-16880")</f>
        <v>0.0</v>
      </c>
      <c r="E1669" s="7" t="n">
        <f>HYPERLINK("https://www.somogyi.sk/data/img/product_main_images/small/16880.jpg","https://www.somogyi.sk/data/img/product_main_images/small/16880.jpg")</f>
        <v>0.0</v>
      </c>
      <c r="F1669" s="2" t="inlineStr">
        <is>
          <t>5999084949129</t>
        </is>
      </c>
      <c r="G1669" s="4" t="inlineStr">
        <is>
          <t xml:space="preserve"> • vstup: 100 - 240 V~  / 50 - 60 Hz 
 • výstup: 2 x 5 V / Σ 2,4 A max. 
 • farba: biela 
 • výstupná prípojka: 2 x USB-A zásuvka 
 • ostatné funkcie: nabíjanie 2 prístrojov naraz</t>
        </is>
      </c>
    </row>
    <row r="1670">
      <c r="A1670" s="3" t="inlineStr">
        <is>
          <t>SA 50USB</t>
        </is>
      </c>
      <c r="B1670" s="2" t="inlineStr">
        <is>
          <t>USB sieťová nabíjačka,, 4x 3.1A, SUM 5A</t>
        </is>
      </c>
      <c r="C1670" s="1" t="n">
        <v>17.59</v>
      </c>
      <c r="D1670" s="7" t="n">
        <f>HYPERLINK("https://www.somogyi.sk/product/usb-sietova-nabijacka-4x-3-1a-sum-5a-sa-50usb-16881","https://www.somogyi.sk/product/usb-sietova-nabijacka-4x-3-1a-sum-5a-sa-50usb-16881")</f>
        <v>0.0</v>
      </c>
      <c r="E1670" s="7" t="n">
        <f>HYPERLINK("https://www.somogyi.sk/data/img/product_main_images/small/16881.jpg","https://www.somogyi.sk/data/img/product_main_images/small/16881.jpg")</f>
        <v>0.0</v>
      </c>
      <c r="F1670" s="2" t="inlineStr">
        <is>
          <t>5999084949136</t>
        </is>
      </c>
      <c r="G1670" s="4" t="inlineStr">
        <is>
          <t xml:space="preserve"> • vstup: 100 - 240 V~  / 50 - 60 Hz 
 • výstup: 4 x 5 V / Σ 3,1 A max. 
 • farba: biela 
 • výstupná prípojka: 4 x USB-A zásuvka 
 • ostatné funkcie: nabíjanie 2 prístrojov naraz</t>
        </is>
      </c>
    </row>
    <row r="1671">
      <c r="A1671" s="3" t="inlineStr">
        <is>
          <t>SAU 24MU</t>
        </is>
      </c>
      <c r="B1671" s="2" t="inlineStr">
        <is>
          <t>Autonabíjačka 2in1</t>
        </is>
      </c>
      <c r="C1671" s="1" t="n">
        <v>2.69</v>
      </c>
      <c r="D1671" s="7" t="n">
        <f>HYPERLINK("https://www.somogyi.sk/product/autonabijacka-2in1-sau-24mu-17701","https://www.somogyi.sk/product/autonabijacka-2in1-sau-24mu-17701")</f>
        <v>0.0</v>
      </c>
      <c r="E1671" s="7" t="n">
        <f>HYPERLINK("https://www.somogyi.sk/data/img/product_main_images/small/17701.jpg","https://www.somogyi.sk/data/img/product_main_images/small/17701.jpg")</f>
        <v>0.0</v>
      </c>
      <c r="F1671" s="2" t="inlineStr">
        <is>
          <t>5999084957230</t>
        </is>
      </c>
      <c r="G1671" s="4" t="inlineStr">
        <is>
          <t xml:space="preserve"> • vstup: 12 - 24 V DC 
 • výstup: 5 V 2,4 A súhrnná zaťažiteľnosť (USB: 5 V / 2,4 A max. / microUSB: 5 V / 2,1 A max.) 
 • farba: čierna</t>
        </is>
      </c>
    </row>
    <row r="1672">
      <c r="A1672" s="3" t="inlineStr">
        <is>
          <t>SAU 96</t>
        </is>
      </c>
      <c r="B1672" s="2" t="inlineStr">
        <is>
          <t>USB rýchlonabíjačka do auta, 4x2,4A</t>
        </is>
      </c>
      <c r="C1672" s="1" t="n">
        <v>10.89</v>
      </c>
      <c r="D1672" s="7" t="n">
        <f>HYPERLINK("https://www.somogyi.sk/product/usb-rychlonabijacka-do-auta-4x2-4a-sau-96-16877","https://www.somogyi.sk/product/usb-rychlonabijacka-do-auta-4x2-4a-sau-96-16877")</f>
        <v>0.0</v>
      </c>
      <c r="E1672" s="7" t="n">
        <f>HYPERLINK("https://www.somogyi.sk/data/img/product_main_images/small/16877.jpg","https://www.somogyi.sk/data/img/product_main_images/small/16877.jpg")</f>
        <v>0.0</v>
      </c>
      <c r="F1672" s="2" t="inlineStr">
        <is>
          <t>5999084949099</t>
        </is>
      </c>
      <c r="G1672" s="4" t="inlineStr">
        <is>
          <t xml:space="preserve"> • vstup: 12 - 24 V DC 
 • výstup: 4 x 5 V / Σ 4,8 A max. 
 • farba: čierna 
 • dĺžka kábla: 1,8 m 
 • výstupná prípojka: 4 x USB-A zásuvka 
 • ostatné funkcie: súčasne nabíja mobilné zariadenia cestujúcich vpredu aj vzadu</t>
        </is>
      </c>
    </row>
    <row r="1673">
      <c r="A1673" s="3" t="inlineStr">
        <is>
          <t>SA 2000Qi</t>
        </is>
      </c>
      <c r="B1673" s="2" t="inlineStr">
        <is>
          <t>Bezdrôtová nabíjačka, Qi</t>
        </is>
      </c>
      <c r="C1673" s="1" t="n">
        <v>18.29</v>
      </c>
      <c r="D1673" s="7" t="n">
        <f>HYPERLINK("https://www.somogyi.sk/product/bezdrotova-nabijacka-qi-sa-2000qi-17098","https://www.somogyi.sk/product/bezdrotova-nabijacka-qi-sa-2000qi-17098")</f>
        <v>0.0</v>
      </c>
      <c r="E1673" s="7" t="n">
        <f>HYPERLINK("https://www.somogyi.sk/data/img/product_main_images/small/17098.jpg","https://www.somogyi.sk/data/img/product_main_images/small/17098.jpg")</f>
        <v>0.0</v>
      </c>
      <c r="F1673" s="2" t="inlineStr">
        <is>
          <t>5999084951306</t>
        </is>
      </c>
      <c r="G1673" s="4" t="inlineStr">
        <is>
          <t xml:space="preserve"> • farba: biela 
 • ostatné funkcie: - 3in1: nabíjanie telefónu, hodiniek a slúchadiel naraz 
 •  - pohodlné, pripojenie jedným káblom	 
 •  - telefón môžete umiestnite v ležiacej aj stojacej polohe	 
 •  - telefón kompatibilný nezávisle od výrobcu, keď podporuje bezdrôtové nabíjanie podľa normy  Qi 	 
 •  - bezdrôtová nabíjačka hodinieki (napr. iWatch)	 
 •  - nabíjačka slúchadiel má zabudovanú Lightning vidlicu (napr. Airdots)	 
 •  - viacfarebná LED kontrolka nabíjania		 
 •  - rozmery: 200 x 100 x 85 mm 
 •  - Pred kúpou skontrolujte kompatibilitu Vášho zariadenia! Nepoužívajte, keď výrobca odporúča niečo iné!</t>
        </is>
      </c>
    </row>
    <row r="1674">
      <c r="A1674" s="3" t="inlineStr">
        <is>
          <t>3.100110</t>
        </is>
      </c>
      <c r="B1674" s="2" t="inlineStr">
        <is>
          <t>Q2 power USB nabíjačka do auta "Triple USB Car Charger Micro USB Connector"</t>
        </is>
      </c>
      <c r="C1674" s="1" t="n">
        <v>5.09</v>
      </c>
      <c r="D1674" s="7" t="n">
        <f>HYPERLINK("https://www.somogyi.sk/product/q2-power-usb-nabijacka-do-auta-triple-usb-car-charger-micro-usb-connector-3-100110-15949","https://www.somogyi.sk/product/q2-power-usb-nabijacka-do-auta-triple-usb-car-charger-micro-usb-connector-3-100110-15949")</f>
        <v>0.0</v>
      </c>
      <c r="E1674" s="7" t="n">
        <f>HYPERLINK("https://www.somogyi.sk/data/img/product_main_images/small/15949.jpg","https://www.somogyi.sk/data/img/product_main_images/small/15949.jpg")</f>
        <v>0.0</v>
      </c>
      <c r="F1674" s="2" t="inlineStr">
        <is>
          <t>7640167560295</t>
        </is>
      </c>
      <c r="G1674" s="4" t="inlineStr">
        <is>
          <t xml:space="preserve"> • vstup: 12 - 24 V DC 
 • výstup: 2 x 5 V DC / Σ 3,1 A max. 
 • dĺžka kábla: 20 cm 
 • výstupná prípojka: 2 x USB-A zásuvka, 1 x micro USB vidlica</t>
        </is>
      </c>
    </row>
    <row r="1675">
      <c r="A1675" s="6" t="inlineStr">
        <is>
          <t xml:space="preserve">   Príslušenstvo k mobilom, adaptéry / USB pripojovací kábel</t>
        </is>
      </c>
      <c r="B1675" s="6" t="inlineStr">
        <is>
          <t/>
        </is>
      </c>
      <c r="C1675" s="6" t="inlineStr">
        <is>
          <t/>
        </is>
      </c>
      <c r="D1675" s="6" t="inlineStr">
        <is>
          <t/>
        </is>
      </c>
      <c r="E1675" s="6" t="inlineStr">
        <is>
          <t/>
        </is>
      </c>
      <c r="F1675" s="6" t="inlineStr">
        <is>
          <t/>
        </is>
      </c>
      <c r="G1675" s="6" t="inlineStr">
        <is>
          <t/>
        </is>
      </c>
    </row>
    <row r="1676">
      <c r="A1676" s="3" t="inlineStr">
        <is>
          <t>USBCC 60</t>
        </is>
      </c>
      <c r="B1676" s="2" t="inlineStr">
        <is>
          <t>USB C-C nabíjací kábel, 60W, 1m, biely</t>
        </is>
      </c>
      <c r="C1676" s="1" t="n">
        <v>7.29</v>
      </c>
      <c r="D1676" s="7" t="n">
        <f>HYPERLINK("https://www.somogyi.sk/product/usb-c-c-nabijaci-kabel-60w-1m-biely-usbcc-60-18179","https://www.somogyi.sk/product/usb-c-c-nabijaci-kabel-60w-1m-biely-usbcc-60-18179")</f>
        <v>0.0</v>
      </c>
      <c r="E1676" s="7" t="n">
        <f>HYPERLINK("https://www.somogyi.sk/data/img/product_main_images/small/18179.jpg","https://www.somogyi.sk/data/img/product_main_images/small/18179.jpg")</f>
        <v>0.0</v>
      </c>
      <c r="F1676" s="2" t="inlineStr">
        <is>
          <t>5999084962012</t>
        </is>
      </c>
      <c r="G1676" s="4" t="inlineStr">
        <is>
          <t xml:space="preserve"> • rozmer vidlice: USB C-C 
 • dĺžka kábla: ∼1 m 
 • farba: biela 
 • max. prúd: 3 A 
 • ostatné funkcie: zvyčajne funguje aj ako dátový kábel (max.480 Mbps)</t>
        </is>
      </c>
    </row>
    <row r="1677">
      <c r="A1677" s="3" t="inlineStr">
        <is>
          <t>SA 044</t>
        </is>
      </c>
      <c r="B1677" s="2" t="inlineStr">
        <is>
          <t>OTG kábel, 0,16 m</t>
        </is>
      </c>
      <c r="C1677" s="1" t="n">
        <v>2.79</v>
      </c>
      <c r="D1677" s="7" t="n">
        <f>HYPERLINK("https://www.somogyi.sk/product/otg-kabel-0-16-m-sa-044-13662","https://www.somogyi.sk/product/otg-kabel-0-16-m-sa-044-13662")</f>
        <v>0.0</v>
      </c>
      <c r="E1677" s="7" t="n">
        <f>HYPERLINK("https://www.somogyi.sk/data/img/product_main_images/small/13662.jpg","https://www.somogyi.sk/data/img/product_main_images/small/13662.jpg")</f>
        <v>0.0</v>
      </c>
      <c r="F1677" s="2" t="inlineStr">
        <is>
          <t>5999084917142</t>
        </is>
      </c>
      <c r="G1677" s="4" t="inlineStr">
        <is>
          <t xml:space="preserve"> • rozmer vidlice: USB-A zásuvka / micro USB-B vidlica 
 • dĺžka kábla: 16 cm 
 • farba: biela 
 • max. prúd: 2,1 A</t>
        </is>
      </c>
    </row>
    <row r="1678">
      <c r="A1678" s="3" t="inlineStr">
        <is>
          <t>USBC OTG</t>
        </is>
      </c>
      <c r="B1678" s="2" t="inlineStr">
        <is>
          <t>OTG kábel, USB-C vidlica - USB zásuvka</t>
        </is>
      </c>
      <c r="C1678" s="1" t="n">
        <v>4.29</v>
      </c>
      <c r="D1678" s="7" t="n">
        <f>HYPERLINK("https://www.somogyi.sk/product/otg-kabel-usb-c-vidlica-usb-zasuvka-usbc-otg-18180","https://www.somogyi.sk/product/otg-kabel-usb-c-vidlica-usb-zasuvka-usbc-otg-18180")</f>
        <v>0.0</v>
      </c>
      <c r="E1678" s="7" t="n">
        <f>HYPERLINK("https://www.somogyi.sk/data/img/product_main_images/small/18180.jpg","https://www.somogyi.sk/data/img/product_main_images/small/18180.jpg")</f>
        <v>0.0</v>
      </c>
      <c r="F1678" s="2" t="inlineStr">
        <is>
          <t>5999084962029</t>
        </is>
      </c>
      <c r="G1678" s="4" t="inlineStr">
        <is>
          <t xml:space="preserve"> • rozmer vidlice: USB-C vidlica- USB-A zásuvka 
 • dĺžka kábla: ∼16 cm 
 • farba: biela 
 • max. prúd: 2,1 A 
 • funkcia: obojsmerný dátový kábel 
 • ďalšie informácie: použitie závisí od mobilného zariadenia</t>
        </is>
      </c>
    </row>
    <row r="1679">
      <c r="A1679" s="3" t="inlineStr">
        <is>
          <t>USBC 1</t>
        </is>
      </c>
      <c r="B1679" s="2" t="inlineStr">
        <is>
          <t>Nabíjací kábel, USB-C</t>
        </is>
      </c>
      <c r="C1679" s="1" t="n">
        <v>5.69</v>
      </c>
      <c r="D1679" s="7" t="n">
        <f>HYPERLINK("https://www.somogyi.sk/product/nabijaci-kabel-usb-c-usbc-1-15819","https://www.somogyi.sk/product/nabijaci-kabel-usb-c-usbc-1-15819")</f>
        <v>0.0</v>
      </c>
      <c r="E1679" s="7" t="n">
        <f>HYPERLINK("https://www.somogyi.sk/data/img/product_main_images/small/15819.jpg","https://www.somogyi.sk/data/img/product_main_images/small/15819.jpg")</f>
        <v>0.0</v>
      </c>
      <c r="F1679" s="2" t="inlineStr">
        <is>
          <t>5999084938536</t>
        </is>
      </c>
      <c r="G1679" s="4" t="inlineStr">
        <is>
          <t xml:space="preserve"> • rozmer vidlice: USB-A vidlica / USB-C 
 • dĺžka kábla: 1 m 
 • farba: biela 
 • max. prúd: 2,1 A</t>
        </is>
      </c>
    </row>
    <row r="1680">
      <c r="A1680" s="3" t="inlineStr">
        <is>
          <t>USBAC1</t>
        </is>
      </c>
      <c r="B1680" s="2" t="inlineStr">
        <is>
          <t>USB A-C nabíjací kábel, 2.1 A, 1 m, čierny</t>
        </is>
      </c>
      <c r="C1680" s="1" t="n">
        <v>2.39</v>
      </c>
      <c r="D1680" s="7" t="n">
        <f>HYPERLINK("https://www.somogyi.sk/product/usb-a-c-nabijaci-kabel-2-1-a-1-m-cierny-usbac1-18709","https://www.somogyi.sk/product/usb-a-c-nabijaci-kabel-2-1-a-1-m-cierny-usbac1-18709")</f>
        <v>0.0</v>
      </c>
      <c r="E1680" s="7" t="n">
        <f>HYPERLINK("https://www.somogyi.sk/data/img/product_main_images/small/18709.jpg","https://www.somogyi.sk/data/img/product_main_images/small/18709.jpg")</f>
        <v>0.0</v>
      </c>
      <c r="F1680" s="2" t="inlineStr">
        <is>
          <t>5999084967277</t>
        </is>
      </c>
      <c r="G1680" s="4" t="inlineStr">
        <is>
          <t xml:space="preserve"> • N/A: USB-A / USB-C 
 • dĺžka kábla: ~1 m 
 • farba: čierna 
 • max. prúd: 5V/2.1A max. 
 • charakteristiky: odolný, tkaný nylonový kábel 
 • ostatné funkcie: zvyčajne funguje aj ako dátový kábel 
 • kompatibilita: USB 2.0 
 • rýchlosť prenosu dát: 480 Mbps max.</t>
        </is>
      </c>
    </row>
    <row r="1681">
      <c r="A1681" s="3" t="inlineStr">
        <is>
          <t>USBCA3</t>
        </is>
      </c>
      <c r="B1681" s="2" t="inlineStr">
        <is>
          <t>USB-C vidlica - USB-A zásuvka, redukcia, kovová</t>
        </is>
      </c>
      <c r="C1681" s="1" t="n">
        <v>4.59</v>
      </c>
      <c r="D1681" s="7" t="n">
        <f>HYPERLINK("https://www.somogyi.sk/product/usb-c-vidlica-usb-a-zasuvka-redukcia-kovova-usbca3-18399","https://www.somogyi.sk/product/usb-c-vidlica-usb-a-zasuvka-redukcia-kovova-usbca3-18399")</f>
        <v>0.0</v>
      </c>
      <c r="E1681" s="7" t="n">
        <f>HYPERLINK("https://www.somogyi.sk/data/img/product_main_images/small/18399.jpg","https://www.somogyi.sk/data/img/product_main_images/small/18399.jpg")</f>
        <v>0.0</v>
      </c>
      <c r="F1681" s="2" t="inlineStr">
        <is>
          <t>5999084964177</t>
        </is>
      </c>
      <c r="G1681" s="4" t="inlineStr">
        <is>
          <t xml:space="preserve"> • N/A: vidlica: USB-C / zásuvka: USB-A 
 • max. prúd: 3.0 A 
 • kompatibilita: USB3.0 
 • rýchlosť prenosu dát: 5Gbps max.</t>
        </is>
      </c>
    </row>
    <row r="1682">
      <c r="A1682" s="3" t="inlineStr">
        <is>
          <t>USBAL1</t>
        </is>
      </c>
      <c r="B1682" s="2" t="inlineStr">
        <is>
          <t>USB A - Apple Lightning nabíjací kábel, 2.1 A, 1 m, biely</t>
        </is>
      </c>
      <c r="C1682" s="1" t="n">
        <v>2.89</v>
      </c>
      <c r="D1682" s="7" t="n">
        <f>HYPERLINK("https://www.somogyi.sk/product/usb-a-apple-lightning-nabijaci-kabel-2-1-a-1-m-biely-usbal1-18711","https://www.somogyi.sk/product/usb-a-apple-lightning-nabijaci-kabel-2-1-a-1-m-biely-usbal1-18711")</f>
        <v>0.0</v>
      </c>
      <c r="E1682" s="7" t="n">
        <f>HYPERLINK("https://www.somogyi.sk/data/img/product_main_images/small/18711.jpg","https://www.somogyi.sk/data/img/product_main_images/small/18711.jpg")</f>
        <v>0.0</v>
      </c>
      <c r="F1682" s="2" t="inlineStr">
        <is>
          <t>5999084967291</t>
        </is>
      </c>
      <c r="G1682" s="4" t="inlineStr">
        <is>
          <t xml:space="preserve"> • N/A: USB-A / LIGHTNING 
 • dĺžka kábla: ~1 m 
 • farba: biela 
 • max. prúd: 5V/2.1A max. 
 • charakteristiky: odolný, tkaný nylonový kábel 
 • ostatné funkcie: zvyčajne funguje aj ako dátový kábel 
 • kompatibilita: USB 2.0 
 • rýchlosť prenosu dát: 480 Mbps max.</t>
        </is>
      </c>
    </row>
    <row r="1683">
      <c r="A1683" s="3" t="inlineStr">
        <is>
          <t>USBCL1</t>
        </is>
      </c>
      <c r="B1683" s="2" t="inlineStr">
        <is>
          <t>USB C - Apple Lightning nabíjací kábel, 2.1 A, 1 m, červený</t>
        </is>
      </c>
      <c r="C1683" s="1" t="n">
        <v>5.59</v>
      </c>
      <c r="D1683" s="7" t="n">
        <f>HYPERLINK("https://www.somogyi.sk/product/usb-c-apple-lightning-nabijaci-kabel-2-1-a-1-m-cerveny-usbcl1-18712","https://www.somogyi.sk/product/usb-c-apple-lightning-nabijaci-kabel-2-1-a-1-m-cerveny-usbcl1-18712")</f>
        <v>0.0</v>
      </c>
      <c r="E1683" s="7" t="n">
        <f>HYPERLINK("https://www.somogyi.sk/data/img/product_main_images/small/18712.jpg","https://www.somogyi.sk/data/img/product_main_images/small/18712.jpg")</f>
        <v>0.0</v>
      </c>
      <c r="F1683" s="2" t="inlineStr">
        <is>
          <t>5999084967307</t>
        </is>
      </c>
      <c r="G1683" s="4" t="inlineStr">
        <is>
          <t xml:space="preserve"> • N/A: USB-A / LIGHTNING 
 • dĺžka kábla: ~1 m 
 • farba: červená 
 • max. prúd: 5V/2.1A max. 
 • charakteristiky: odolný, tkaný nylonový kábel 
 • ostatné funkcie: zvyčajne funguje aj ako dátový kábel 
 • kompatibilita: USB 2.0 
 • rýchlosť prenosu dát: 480 Mbps max.</t>
        </is>
      </c>
    </row>
    <row r="1684">
      <c r="A1684" s="3" t="inlineStr">
        <is>
          <t>USBC A1</t>
        </is>
      </c>
      <c r="B1684" s="2" t="inlineStr">
        <is>
          <t>USB-C/microUSB-B redukcia</t>
        </is>
      </c>
      <c r="C1684" s="1" t="n">
        <v>3.79</v>
      </c>
      <c r="D1684" s="7" t="n">
        <f>HYPERLINK("https://www.somogyi.sk/product/usb-c-microusb-b-redukcia-usbc-a1-15820","https://www.somogyi.sk/product/usb-c-microusb-b-redukcia-usbc-a1-15820")</f>
        <v>0.0</v>
      </c>
      <c r="E1684" s="7" t="n">
        <f>HYPERLINK("https://www.somogyi.sk/data/img/product_main_images/small/15820.jpg","https://www.somogyi.sk/data/img/product_main_images/small/15820.jpg")</f>
        <v>0.0</v>
      </c>
      <c r="F1684" s="2" t="inlineStr">
        <is>
          <t>5999084938543</t>
        </is>
      </c>
      <c r="G1684" s="4" t="inlineStr">
        <is>
          <t xml:space="preserve"> • rozmer vidlice: micro USB-B zásuvka / USB-C vidlica 
 • max. prúd: 2,1 A 
 • kompatibilita: USB 2.0 
 • rýchlosť prenosu dát: 240 Mbps max.</t>
        </is>
      </c>
    </row>
    <row r="1685">
      <c r="A1685" s="3" t="inlineStr">
        <is>
          <t>USBCC1</t>
        </is>
      </c>
      <c r="B1685" s="2" t="inlineStr">
        <is>
          <t>USB-C / UBC-C nabíjací kábel, 2,1 A, 1 m</t>
        </is>
      </c>
      <c r="C1685" s="1" t="n">
        <v>3.49</v>
      </c>
      <c r="D1685" s="7" t="n">
        <f>HYPERLINK("https://www.somogyi.sk/product/usb-c-ubc-c-nabijaci-kabel-2-1-a-1-m-usbcc1-18710","https://www.somogyi.sk/product/usb-c-ubc-c-nabijaci-kabel-2-1-a-1-m-usbcc1-18710")</f>
        <v>0.0</v>
      </c>
      <c r="E1685" s="7" t="n">
        <f>HYPERLINK("https://www.somogyi.sk/data/img/product_main_images/small/18710.jpg","https://www.somogyi.sk/data/img/product_main_images/small/18710.jpg")</f>
        <v>0.0</v>
      </c>
      <c r="F1685" s="2" t="inlineStr">
        <is>
          <t>5999084967284</t>
        </is>
      </c>
      <c r="G1685" s="4" t="inlineStr">
        <is>
          <t xml:space="preserve"> • N/A: USB-C / USB-C 
 • dĺžka kábla: ~1 m 
 • farba: modrá 
 • max. prúd: 5V/2.1A max. 
 • charakteristiky: odolný, tkaný nylonový kábel 
 • ostatné funkcie: zvyčajne funguje aj ako dátový kábel 
 • kompatibilita: USB 2.0 
 • rýchlosť prenosu dát: 480 Mbps max.</t>
        </is>
      </c>
    </row>
    <row r="1686">
      <c r="A1686" s="3" t="inlineStr">
        <is>
          <t>USBF C2</t>
        </is>
      </c>
      <c r="B1686" s="2" t="inlineStr">
        <is>
          <t>USB-C nabíjací kábel, plochý, 2m</t>
        </is>
      </c>
      <c r="C1686" s="1" t="n">
        <v>6.19</v>
      </c>
      <c r="D1686" s="7" t="n">
        <f>HYPERLINK("https://www.somogyi.sk/product/usb-c-nabijaci-kabel-plochy-2m-usbf-c2-17081","https://www.somogyi.sk/product/usb-c-nabijaci-kabel-plochy-2m-usbf-c2-17081")</f>
        <v>0.0</v>
      </c>
      <c r="E1686" s="7" t="n">
        <f>HYPERLINK("https://www.somogyi.sk/data/img/product_main_images/small/17081.jpg","https://www.somogyi.sk/data/img/product_main_images/small/17081.jpg")</f>
        <v>0.0</v>
      </c>
      <c r="F1686" s="2" t="inlineStr">
        <is>
          <t>5999084951139</t>
        </is>
      </c>
      <c r="G1686" s="4" t="inlineStr">
        <is>
          <t xml:space="preserve"> • rozmer vidlice: USB-A vidlica / USB-C vidlica 
 • dĺžka kábla: 2 m 
 • farba: čierna / strieborná 
 • max. prúd: 2,1 A max</t>
        </is>
      </c>
    </row>
    <row r="1687">
      <c r="A1687" s="3" t="inlineStr">
        <is>
          <t>USBF 2</t>
        </is>
      </c>
      <c r="B1687" s="2" t="inlineStr">
        <is>
          <t>Nabíjací kábel microUSB</t>
        </is>
      </c>
      <c r="C1687" s="1" t="n">
        <v>4.49</v>
      </c>
      <c r="D1687" s="7" t="n">
        <f>HYPERLINK("https://www.somogyi.sk/product/nabijaci-kabel-microusb-usbf-2-17082","https://www.somogyi.sk/product/nabijaci-kabel-microusb-usbf-2-17082")</f>
        <v>0.0</v>
      </c>
      <c r="E1687" s="7" t="n">
        <f>HYPERLINK("https://www.somogyi.sk/data/img/product_main_images/small/17082.jpg","https://www.somogyi.sk/data/img/product_main_images/small/17082.jpg")</f>
        <v>0.0</v>
      </c>
      <c r="F1687" s="2" t="inlineStr">
        <is>
          <t>5999084951146</t>
        </is>
      </c>
      <c r="G1687" s="4" t="inlineStr">
        <is>
          <t xml:space="preserve"> • rozmer vidlice: USB-A zásuvka / micro USB-B vidlica 
 • dĺžka kábla: 2 m 
 • farba: čierna 
 • max. prúd: 2,1 A</t>
        </is>
      </c>
    </row>
    <row r="1688">
      <c r="A1688" s="3" t="inlineStr">
        <is>
          <t>USBF 3</t>
        </is>
      </c>
      <c r="B1688" s="2" t="inlineStr">
        <is>
          <t>Nabíjací kábel, micro USB</t>
        </is>
      </c>
      <c r="C1688" s="1" t="n">
        <v>3.69</v>
      </c>
      <c r="D1688" s="7" t="n">
        <f>HYPERLINK("https://www.somogyi.sk/product/nabijaci-kabel-micro-usb-usbf-3-15768","https://www.somogyi.sk/product/nabijaci-kabel-micro-usb-usbf-3-15768")</f>
        <v>0.0</v>
      </c>
      <c r="E1688" s="7" t="n">
        <f>HYPERLINK("https://www.somogyi.sk/data/img/product_main_images/small/15768.jpg","https://www.somogyi.sk/data/img/product_main_images/small/15768.jpg")</f>
        <v>0.0</v>
      </c>
      <c r="F1688" s="2" t="inlineStr">
        <is>
          <t>5999084938024</t>
        </is>
      </c>
      <c r="G1688" s="4" t="inlineStr">
        <is>
          <t xml:space="preserve"> • rozmer vidlice: USB-A vidlica / microUSB-B vidlica 
 • dĺžka kábla: 3 m 
 • farba: čierna 
 • max. prúd: 2,1 A 
 • ostatné funkcie: vidlice sa dajú zapojiť aj opačne, plochý kábel, pozlátený</t>
        </is>
      </c>
    </row>
    <row r="1689">
      <c r="A1689" s="3" t="inlineStr">
        <is>
          <t>USBHUB7</t>
        </is>
      </c>
      <c r="B1689" s="2" t="inlineStr">
        <is>
          <t>USB-C HUB, dokovacia stanica, 7in1</t>
        </is>
      </c>
      <c r="C1689" s="1" t="n">
        <v>68.49</v>
      </c>
      <c r="D1689" s="7" t="n">
        <f>HYPERLINK("https://www.somogyi.sk/product/usb-c-hub-dokovacia-stanica-7in1-usbhub7-18401","https://www.somogyi.sk/product/usb-c-hub-dokovacia-stanica-7in1-usbhub7-18401")</f>
        <v>0.0</v>
      </c>
      <c r="E1689" s="7" t="n">
        <f>HYPERLINK("https://www.somogyi.sk/data/img/product_main_images/small/18401.jpg","https://www.somogyi.sk/data/img/product_main_images/small/18401.jpg")</f>
        <v>0.0</v>
      </c>
      <c r="F1689" s="2" t="inlineStr">
        <is>
          <t>5999084964191</t>
        </is>
      </c>
      <c r="G1689" s="4" t="inlineStr">
        <is>
          <t xml:space="preserve"> • vstupná prípojka: USB Type-C 
 • dĺžka kábla: ~12 cm 
 • výstupná zásuvka: HDMI, RJ45 LAN, 2xUSB 3.0, USB-C PD, TF 3.0, SD 3.0 
 • funkcia: 7in1 počítačový extender 
 • ostatné funkcie: bez MAC OS, Windows, Linux „plug &amp; play”, driver 
 • ďalšie informácie: prémiový, hliníkový kryt 
 • rozmery: 135 x 17 x 32 mm 
 • hmotnosť: 66 g</t>
        </is>
      </c>
    </row>
    <row r="1690">
      <c r="A1690" s="3" t="inlineStr">
        <is>
          <t>USBHUB6</t>
        </is>
      </c>
      <c r="B1690" s="2" t="inlineStr">
        <is>
          <t>USB-C HUB, dokovacia stanica, 6in1</t>
        </is>
      </c>
      <c r="C1690" s="1" t="n">
        <v>27.29</v>
      </c>
      <c r="D1690" s="7" t="n">
        <f>HYPERLINK("https://www.somogyi.sk/product/usb-c-hub-dokovacia-stanica-6in1-usbhub6-18400","https://www.somogyi.sk/product/usb-c-hub-dokovacia-stanica-6in1-usbhub6-18400")</f>
        <v>0.0</v>
      </c>
      <c r="E1690" s="7" t="n">
        <f>HYPERLINK("https://www.somogyi.sk/data/img/product_main_images/small/18400.jpg","https://www.somogyi.sk/data/img/product_main_images/small/18400.jpg")</f>
        <v>0.0</v>
      </c>
      <c r="F1690" s="2" t="inlineStr">
        <is>
          <t>5999084964184</t>
        </is>
      </c>
      <c r="G1690" s="4" t="inlineStr">
        <is>
          <t xml:space="preserve"> • vstupná prípojka: USB Type-C 
 • dĺžka kábla: ~20 cm 
 • výstupná zásuvka: HDMI, 2xUSB 3.0, USB-C PD, TF 3.0, SD 3.0 
 • funkcia: 6in1 počítačový extender 
 • ostatné funkcie: bez MAC OS, Windows, Linux „plug &amp; play”, driver 
 •  
 • rozmery: 112 x 11 x 41 mm 
 • hmotnosť: 51 g</t>
        </is>
      </c>
    </row>
    <row r="1691">
      <c r="A1691" s="3" t="inlineStr">
        <is>
          <t>USBC A2</t>
        </is>
      </c>
      <c r="B1691" s="2" t="inlineStr">
        <is>
          <t>USB-C zásuvka - USB-A vidlica redukcia, kovová</t>
        </is>
      </c>
      <c r="C1691" s="1" t="n">
        <v>4.79</v>
      </c>
      <c r="D1691" s="7" t="n">
        <f>HYPERLINK("https://www.somogyi.sk/product/usb-c-zasuvka-usb-a-vidlica-redukcia-kovova-usbc-a2-18181","https://www.somogyi.sk/product/usb-c-zasuvka-usb-a-vidlica-redukcia-kovova-usbc-a2-18181")</f>
        <v>0.0</v>
      </c>
      <c r="E1691" s="7" t="n">
        <f>HYPERLINK("https://www.somogyi.sk/data/img/product_main_images/small/18181.jpg","https://www.somogyi.sk/data/img/product_main_images/small/18181.jpg")</f>
        <v>0.0</v>
      </c>
      <c r="F1691" s="2" t="inlineStr">
        <is>
          <t>5999084962036</t>
        </is>
      </c>
      <c r="G1691" s="4" t="inlineStr">
        <is>
          <t xml:space="preserve"> • rozmer vidlice: USB-C zásuvka - USB-A vidlica 
 • farba: čierna 
 • max. prúd: 2,1 A 
 • funkcia: menič 
 • ostatné funkcie: zvyčajne funguje aj ako dátový kábel</t>
        </is>
      </c>
    </row>
    <row r="1692">
      <c r="A1692" s="3" t="inlineStr">
        <is>
          <t>USB A/MICRO-1</t>
        </is>
      </c>
      <c r="B1692" s="2" t="inlineStr">
        <is>
          <t>Nabíjací kábel, micro USB, 1m</t>
        </is>
      </c>
      <c r="C1692" s="1" t="n">
        <v>2.79</v>
      </c>
      <c r="D1692" s="7" t="n">
        <f>HYPERLINK("https://www.somogyi.sk/product/nabijaci-kabel-micro-usb-1m-usb-a-micro-1-10265","https://www.somogyi.sk/product/nabijaci-kabel-micro-usb-1m-usb-a-micro-1-10265")</f>
        <v>0.0</v>
      </c>
      <c r="E1692" s="7" t="n">
        <f>HYPERLINK("https://www.somogyi.sk/data/img/product_main_images/small/10265.jpg","https://www.somogyi.sk/data/img/product_main_images/small/10265.jpg")</f>
        <v>0.0</v>
      </c>
      <c r="F1692" s="2" t="inlineStr">
        <is>
          <t>5998312788745</t>
        </is>
      </c>
      <c r="G1692" s="4" t="inlineStr">
        <is>
          <t xml:space="preserve"> • rozmer vidlice: USB-A vidlica / microUSB-B 
 • dĺžka kábla: 100 cm 
 • farba: čierna 
 • max. prúd: 1 A 
 • ostatné funkcie: väčšinou slúži aj ako dátový kábel</t>
        </is>
      </c>
    </row>
    <row r="1693">
      <c r="A1693" s="6" t="inlineStr">
        <is>
          <t xml:space="preserve">   Príslušenstvo k mobilom, adaptéry / Adaptér</t>
        </is>
      </c>
      <c r="B1693" s="6" t="inlineStr">
        <is>
          <t/>
        </is>
      </c>
      <c r="C1693" s="6" t="inlineStr">
        <is>
          <t/>
        </is>
      </c>
      <c r="D1693" s="6" t="inlineStr">
        <is>
          <t/>
        </is>
      </c>
      <c r="E1693" s="6" t="inlineStr">
        <is>
          <t/>
        </is>
      </c>
      <c r="F1693" s="6" t="inlineStr">
        <is>
          <t/>
        </is>
      </c>
      <c r="G1693" s="6" t="inlineStr">
        <is>
          <t/>
        </is>
      </c>
    </row>
    <row r="1694">
      <c r="A1694" s="3" t="inlineStr">
        <is>
          <t>NBC 65W</t>
        </is>
      </c>
      <c r="B1694" s="2" t="inlineStr">
        <is>
          <t>Univerzálna USB-C rýchlonabíjačka, 65 W</t>
        </is>
      </c>
      <c r="C1694" s="1" t="n">
        <v>21.99</v>
      </c>
      <c r="D1694" s="7" t="n">
        <f>HYPERLINK("https://www.somogyi.sk/product/univerzalna-usb-c-rychlonabijacka-65-w-nbc-65w-18198","https://www.somogyi.sk/product/univerzalna-usb-c-rychlonabijacka-65-w-nbc-65w-18198")</f>
        <v>0.0</v>
      </c>
      <c r="E1694" s="7" t="n">
        <f>HYPERLINK("https://www.somogyi.sk/data/img/product_main_images/small/18198.jpg","https://www.somogyi.sk/data/img/product_main_images/small/18198.jpg")</f>
        <v>0.0</v>
      </c>
      <c r="F1694" s="2" t="inlineStr">
        <is>
          <t>5999084962203</t>
        </is>
      </c>
      <c r="G1694" s="4" t="inlineStr">
        <is>
          <t xml:space="preserve"> • výkon: max.65 W 
 • napätie na výstupe: 5 V / 3 A, 9 V / 3 A, 12 V / 3 A, 15 V / 3 A, 20 V / 3,25 A 
 • napájanie: 100-240 V~ / 50-60 Hz 
 • dĺžka kábla: ~1,7 m</t>
        </is>
      </c>
    </row>
    <row r="1695">
      <c r="A1695" s="3" t="inlineStr">
        <is>
          <t>CNE-CCA033W</t>
        </is>
      </c>
      <c r="B1695" s="2" t="inlineStr">
        <is>
          <t>CANYON C-033 Universal 1xUSB adaptér do auta</t>
        </is>
      </c>
      <c r="C1695" s="1" t="n">
        <v>4.59</v>
      </c>
      <c r="D1695" s="7" t="n">
        <f>HYPERLINK("https://www.somogyi.sk/product/canyon-c-033-universal-1xusb-adapter-do-auta-cne-cca033w-18074","https://www.somogyi.sk/product/canyon-c-033-universal-1xusb-adapter-do-auta-cne-cca033w-18074")</f>
        <v>0.0</v>
      </c>
      <c r="E1695" s="7" t="n">
        <f>HYPERLINK("https://www.somogyi.sk/data/img/product_main_images/small/18074.jpg","https://www.somogyi.sk/data/img/product_main_images/small/18074.jpg")</f>
        <v>0.0</v>
      </c>
      <c r="F1695" s="2" t="inlineStr">
        <is>
          <t>5291485005856</t>
        </is>
      </c>
      <c r="G1695" s="4" t="inlineStr">
        <is>
          <t xml:space="preserve"> • napätie na výstupe: 5V/2,4A 
 • vstupné napätie: 12-24 V 
 • pripojovacia sada  / napájacie vidlice: 1 x USB 2,4 A / 1 ks zabudovaný, 1,2 m "LIGHTNING" kábel</t>
        </is>
      </c>
    </row>
    <row r="1696">
      <c r="A1696" s="3" t="inlineStr">
        <is>
          <t>VTF1000VA</t>
        </is>
      </c>
      <c r="B1696" s="2" t="inlineStr">
        <is>
          <t>Menič napätia, 230V/110V, max.1000VA</t>
        </is>
      </c>
      <c r="C1696" s="1" t="n">
        <v>63.99</v>
      </c>
      <c r="D1696" s="7" t="n">
        <f>HYPERLINK("https://www.somogyi.sk/product/menic-napatia-230v-110v-max-1000va-vtf1000va-19068","https://www.somogyi.sk/product/menic-napatia-230v-110v-max-1000va-vtf1000va-19068")</f>
        <v>0.0</v>
      </c>
      <c r="E1696" s="7" t="n">
        <f>HYPERLINK("https://www.somogyi.sk/data/img/product_main_images/small/19068.jpg","https://www.somogyi.sk/data/img/product_main_images/small/19068.jpg")</f>
        <v>0.0</v>
      </c>
      <c r="F1696" s="2" t="inlineStr">
        <is>
          <t>5999084970611</t>
        </is>
      </c>
      <c r="G1696" s="4" t="inlineStr">
        <is>
          <t xml:space="preserve"> • 230 V  110 V mení striedavé napätie 
 • pre domáce spotrebiče 
 • maximálna zaťažiteľnosť: 1000 V A / 800 W 
 • na súčasnú prevádzku dvoch zariadení    
 • vstup: 230 V bezpečnostná pripojovacia vidlica 
 • výstup: 2 ks 110 V "USA" bezpečnostná pripojovacia zásuvka  
 • za-/vypínač, kontrolka LED 
 • účinný toroidný transformátor 
 • jednofázová, čistá sínusová vlna 
 • malé, kompaktné rozmery 
 • masívny, kovový kryt prístroja 
 • nadprúdová ochrana: istič 
 • rozmery / hmotnosť: 150 x 150 x 210 mm / 4,3 kg</t>
        </is>
      </c>
    </row>
    <row r="1697">
      <c r="A1697" s="3" t="inlineStr">
        <is>
          <t>VTF200VA</t>
        </is>
      </c>
      <c r="B1697" s="2" t="inlineStr">
        <is>
          <t>Menič napätia, 230V/110V, max.200VA</t>
        </is>
      </c>
      <c r="C1697" s="1" t="n">
        <v>39.19</v>
      </c>
      <c r="D1697" s="7" t="n">
        <f>HYPERLINK("https://www.somogyi.sk/product/menic-napatia-230v-110v-max-200va-vtf200va-19067","https://www.somogyi.sk/product/menic-napatia-230v-110v-max-200va-vtf200va-19067")</f>
        <v>0.0</v>
      </c>
      <c r="E1697" s="7" t="n">
        <f>HYPERLINK("https://www.somogyi.sk/data/img/product_main_images/small/19067.jpg","https://www.somogyi.sk/data/img/product_main_images/small/19067.jpg")</f>
        <v>0.0</v>
      </c>
      <c r="F1697" s="2" t="inlineStr">
        <is>
          <t>5999084970604</t>
        </is>
      </c>
      <c r="G1697" s="4" t="inlineStr">
        <is>
          <t xml:space="preserve"> • 230 V  110 V mení striedavé napätie 
 • pre domáce spotrebiče 
 • maximálna zaťažiteľnosť: 200 V A / 160 W 
 • na súčasnú prevádzku dvoch zariadení    
 • vstup: 230 V bezpečnostná pripojovacia vidlica 
 • výstup: 2 ks 110 V "USA" bezpečnostná pripojovacia zásuvka  
 • za-/vypínač, kontrolka LED 
 • účinný toroidný transformátor 
 • jednofázová, čistá sínusová vlna 
 • malé, kompaktné rozmery 
 • masívny, kovový kryt prístroja 
 • nadprúdová ochrana: vymeniteľná poistka 
 • rozmery / hmotnosť: 125 x 100 x 180 mm / 1,8 kg</t>
        </is>
      </c>
    </row>
    <row r="1698">
      <c r="A1698" s="3" t="inlineStr">
        <is>
          <t>MW MA06N</t>
        </is>
      </c>
      <c r="B1698" s="2" t="inlineStr">
        <is>
          <t>1000-600 mA adaptér, 3-12V</t>
        </is>
      </c>
      <c r="C1698" s="1" t="n">
        <v>13.29</v>
      </c>
      <c r="D1698" s="7" t="n">
        <f>HYPERLINK("https://www.somogyi.sk/product/1000-600-ma-adapter-3-12v-mw-ma06n-18286","https://www.somogyi.sk/product/1000-600-ma-adapter-3-12v-mw-ma06n-18286")</f>
        <v>0.0</v>
      </c>
      <c r="E1698" s="7" t="n">
        <f>HYPERLINK("https://www.somogyi.sk/data/img/product_main_images/small/18286.jpg","https://www.somogyi.sk/data/img/product_main_images/small/18286.jpg")</f>
        <v>0.0</v>
      </c>
      <c r="F1698" s="2" t="inlineStr">
        <is>
          <t>5999084963088</t>
        </is>
      </c>
      <c r="G1698" s="4" t="inlineStr">
        <is>
          <t xml:space="preserve"> • napätie na výstupe: 3 / 4,5 / 5 / 6 / 7,5 / 9 / 12 V 
 • vstupné napätie: 230 V~ / 50 Hz 
 • pripojovacia sada  / napájacie vidlice: 6 ks 
 • LED-kontrolka: áno 
 • výstupný prúd: 1000-600 mA 
 • charakteristiky: EuP kompatibilita</t>
        </is>
      </c>
    </row>
    <row r="1699">
      <c r="A1699" s="3" t="inlineStr">
        <is>
          <t>MW MD25</t>
        </is>
      </c>
      <c r="B1699" s="2" t="inlineStr">
        <is>
          <t>Sieťový adaptér, 3 - 12 V DC</t>
        </is>
      </c>
      <c r="C1699" s="1" t="n">
        <v>26.09</v>
      </c>
      <c r="D1699" s="7" t="n">
        <f>HYPERLINK("https://www.somogyi.sk/product/sietovy-adapter-3-12-v-dc-mw-md25-16782","https://www.somogyi.sk/product/sietovy-adapter-3-12-v-dc-mw-md25-16782")</f>
        <v>0.0</v>
      </c>
      <c r="E1699" s="7" t="n">
        <f>HYPERLINK("https://www.somogyi.sk/data/img/product_main_images/small/16782.jpg","https://www.somogyi.sk/data/img/product_main_images/small/16782.jpg")</f>
        <v>0.0</v>
      </c>
      <c r="F1699" s="2" t="inlineStr">
        <is>
          <t>5999084948146</t>
        </is>
      </c>
      <c r="G1699" s="4" t="inlineStr">
        <is>
          <t xml:space="preserve"> • napätie na výstupe: 3 / 4,5 / 5 / 6 / 7,5 / 9 / 12 V 
 • pripojovacia sada  / napájacie vidlice: 6 ks 
 • výstupná polarita: meniteľný 
 • LED-kontrolka: áno 
 • výstupný prúd: 2250 mA</t>
        </is>
      </c>
    </row>
    <row r="1700">
      <c r="A1700" s="3" t="inlineStr">
        <is>
          <t>MW MB10N</t>
        </is>
      </c>
      <c r="B1700" s="2" t="inlineStr">
        <is>
          <t>2000-1000 mA adaptér 3-12V</t>
        </is>
      </c>
      <c r="C1700" s="1" t="n">
        <v>15.59</v>
      </c>
      <c r="D1700" s="7" t="n">
        <f>HYPERLINK("https://www.somogyi.sk/product/2000-1000-ma-adapter-3-12v-mw-mb10n-18287","https://www.somogyi.sk/product/2000-1000-ma-adapter-3-12v-mw-mb10n-18287")</f>
        <v>0.0</v>
      </c>
      <c r="E1700" s="7" t="n">
        <f>HYPERLINK("https://www.somogyi.sk/data/img/product_main_images/small/18287.jpg","https://www.somogyi.sk/data/img/product_main_images/small/18287.jpg")</f>
        <v>0.0</v>
      </c>
      <c r="F1700" s="2" t="inlineStr">
        <is>
          <t>5999084963095</t>
        </is>
      </c>
      <c r="G1700" s="4" t="inlineStr">
        <is>
          <t xml:space="preserve"> • napätie na výstupe: 3 / 4,5 / 5 / 6 / 7,5 / 9 / 12 V 
 • pripojovacia sada  / napájacie vidlice: 6 ks 
 • LED-kontrolka: áno 
 • napájanie: 100 - 240 V~ 
 • výstupný prúd: 2000-1000 mA 
 • charakteristiky: EuP kompatibilita</t>
        </is>
      </c>
    </row>
    <row r="1701">
      <c r="A1701" s="3" t="inlineStr">
        <is>
          <t>NA 12P200</t>
        </is>
      </c>
      <c r="B1701" s="2" t="inlineStr">
        <is>
          <t>Sieťový adaptér</t>
        </is>
      </c>
      <c r="C1701" s="1" t="n">
        <v>10.99</v>
      </c>
      <c r="D1701" s="7" t="n">
        <f>HYPERLINK("https://www.somogyi.sk/product/sietovy-adapter-na-12p200-15432","https://www.somogyi.sk/product/sietovy-adapter-na-12p200-15432")</f>
        <v>0.0</v>
      </c>
      <c r="E1701" s="7" t="n">
        <f>HYPERLINK("https://www.somogyi.sk/data/img/product_main_images/small/15432.jpg","https://www.somogyi.sk/data/img/product_main_images/small/15432.jpg")</f>
        <v>0.0</v>
      </c>
      <c r="F1701" s="2" t="inlineStr">
        <is>
          <t>5999084934668</t>
        </is>
      </c>
      <c r="G1701" s="4" t="inlineStr">
        <is>
          <t xml:space="preserve"> • napätie na výstupe: 12 V DC 
 • pripojovacia sada  / napájacie vidlice: 5,5 x 2,1 mm 
 • výstupná polarita: fixná 
 • napájanie: 100 - 240 V~  
 • výstupný prúd: 2000 mA 
 • dĺžka kábla: 140 cm</t>
        </is>
      </c>
    </row>
    <row r="1702">
      <c r="A1702" s="3" t="inlineStr">
        <is>
          <t>MW MA06/G+</t>
        </is>
      </c>
      <c r="B1702" s="2" t="inlineStr">
        <is>
          <t>600 mA adaptér</t>
        </is>
      </c>
      <c r="C1702" s="1" t="n">
        <v>5.69</v>
      </c>
      <c r="D1702" s="7" t="n">
        <f>HYPERLINK("https://www.somogyi.sk/product/600-ma-adapter-mw-ma06-g-16794","https://www.somogyi.sk/product/600-ma-adapter-mw-ma06-g-16794")</f>
        <v>0.0</v>
      </c>
      <c r="E1702" s="7" t="n">
        <f>HYPERLINK("https://www.somogyi.sk/data/img/product_main_images/small/16794.jpg","https://www.somogyi.sk/data/img/product_main_images/small/16794.jpg")</f>
        <v>0.0</v>
      </c>
      <c r="F1702" s="2" t="inlineStr">
        <is>
          <t>5999084948269</t>
        </is>
      </c>
      <c r="G1702" s="4" t="inlineStr">
        <is>
          <t xml:space="preserve"> • napätie na výstupe: 3 V – 4,5 V – 5 V – 6 V – 7,5 V – 9 V – 12 V 
 • vstupné napätie: 230 V~ / 50 Hz 
 • pripojovacia sada  / napájacie vidlice: s fixnou 2,5 x 5,5 mm prípojkou 
 • LED-kontrolka: áno 
 • výstupný prúd: 600 mA 
 • dĺžka kábla: ~ 1,8 m</t>
        </is>
      </c>
    </row>
    <row r="1703">
      <c r="A1703" s="3" t="inlineStr">
        <is>
          <t>MW MC15N</t>
        </is>
      </c>
      <c r="B1703" s="2" t="inlineStr">
        <is>
          <t>2100-1500 mA stabilizovaný adaptér</t>
        </is>
      </c>
      <c r="C1703" s="1" t="n">
        <v>19.49</v>
      </c>
      <c r="D1703" s="7" t="n">
        <f>HYPERLINK("https://www.somogyi.sk/product/2100-1500-ma-stabilizovany-adapter-mw-mc15n-18288","https://www.somogyi.sk/product/2100-1500-ma-stabilizovany-adapter-mw-mc15n-18288")</f>
        <v>0.0</v>
      </c>
      <c r="E1703" s="7" t="n">
        <f>HYPERLINK("https://www.somogyi.sk/data/img/product_main_images/small/18288.jpg","https://www.somogyi.sk/data/img/product_main_images/small/18288.jpg")</f>
        <v>0.0</v>
      </c>
      <c r="F1703" s="2" t="inlineStr">
        <is>
          <t>5999084963101</t>
        </is>
      </c>
      <c r="G1703" s="4" t="inlineStr">
        <is>
          <t xml:space="preserve"> • napätie na výstupe: 3 / 4,5 / 5 / 6 / 7,5 / 9 / 12 V 
 • pripojovacia sada  / napájacie vidlice: 6 ks 
 • LED-kontrolka: áno 
 • napájanie: 100 - 240 V~ 
 • výstupný prúd: 2100-1500 mA 
 • charakteristiky: EuP kompatibilita</t>
        </is>
      </c>
    </row>
    <row r="1704">
      <c r="A1704" s="6" t="inlineStr">
        <is>
          <t xml:space="preserve">   Cestovný adaptér / q2power cestovný adaptér</t>
        </is>
      </c>
      <c r="B1704" s="6" t="inlineStr">
        <is>
          <t/>
        </is>
      </c>
      <c r="C1704" s="6" t="inlineStr">
        <is>
          <t/>
        </is>
      </c>
      <c r="D1704" s="6" t="inlineStr">
        <is>
          <t/>
        </is>
      </c>
      <c r="E1704" s="6" t="inlineStr">
        <is>
          <t/>
        </is>
      </c>
      <c r="F1704" s="6" t="inlineStr">
        <is>
          <t/>
        </is>
      </c>
      <c r="G1704" s="6" t="inlineStr">
        <is>
          <t/>
        </is>
      </c>
    </row>
    <row r="1705">
      <c r="A1705" s="3" t="inlineStr">
        <is>
          <t>2.100130</t>
        </is>
      </c>
      <c r="B1705" s="2" t="inlineStr">
        <is>
          <t>Q2 power Cestovný adaptér "Qdapter 360 USB"</t>
        </is>
      </c>
      <c r="C1705" s="1" t="n">
        <v>12.69</v>
      </c>
      <c r="D1705" s="7" t="n">
        <f>HYPERLINK("https://www.somogyi.sk/product/q2-power-cestovny-adapter-qdapter-360-usb-2-100130-15943","https://www.somogyi.sk/product/q2-power-cestovny-adapter-qdapter-360-usb-2-100130-15943")</f>
        <v>0.0</v>
      </c>
      <c r="E1705" s="7" t="n">
        <f>HYPERLINK("https://www.somogyi.sk/data/img/product_main_images/small/15943.jpg","https://www.somogyi.sk/data/img/product_main_images/small/15943.jpg")</f>
        <v>0.0</v>
      </c>
      <c r="F1705" s="2" t="inlineStr">
        <is>
          <t>7640167560578</t>
        </is>
      </c>
      <c r="G1705" s="4" t="inlineStr">
        <is>
          <t xml:space="preserve"> • pripojenia: cestovné adaptéry typu 2.100100 a 1.100.100 
 • k uzemneným prístrojom: áno 
 • vstupná vidlica: AUS, IT, UK, CH, BRAZIL, USA, EURO 
 • výstupná zásuvka: AUS/CHINA, IT, UK, CH, BRAZIL, USA, EURO (iba neuzemnené!) 
 • USB nabíjacia zásuvka: max. 2,1 A 
 • menovité napätie: 100 V - 250 V 
 • menovitý prúd: Qdapter: 10 A / Word to Europe: 16 A 
 • menovitý príkon: Qdapter: 100 V - 1000 W / 250 V - 2500 W, Word to Europe: 100 V - 1600 W / 250 V - 4000 W</t>
        </is>
      </c>
    </row>
    <row r="1706">
      <c r="A1706" s="3" t="inlineStr">
        <is>
          <t>1.100190</t>
        </is>
      </c>
      <c r="B1706" s="2" t="inlineStr">
        <is>
          <t>Q2 power Cestovný adaptér "World to Italy USB"</t>
        </is>
      </c>
      <c r="C1706" s="1" t="n">
        <v>5.39</v>
      </c>
      <c r="D1706" s="7" t="n">
        <f>HYPERLINK("https://www.somogyi.sk/product/q2-power-cestovny-adapter-world-to-italy-usb-1-100190-15928","https://www.somogyi.sk/product/q2-power-cestovny-adapter-world-to-italy-usb-1-100190-15928")</f>
        <v>0.0</v>
      </c>
      <c r="E1706" s="7" t="n">
        <f>HYPERLINK("https://www.somogyi.sk/data/img/product_main_images/small/15928.jpg","https://www.somogyi.sk/data/img/product_main_images/small/15928.jpg")</f>
        <v>0.0</v>
      </c>
      <c r="F1706" s="2" t="inlineStr">
        <is>
          <t>7640167560103</t>
        </is>
      </c>
      <c r="G1706" s="4" t="inlineStr">
        <is>
          <t xml:space="preserve"> • k uzemneným prístrojom: áno (okrem EURO) 
 • vstupná vidlica: IT 
 • výstupná zásuvka: AUS/CHINA, IT, UK, CH, BRAZIL, USA, EURO (iba neuzemnené!) 
 • menovité napätie: 100 V - 250 V 
 • menovitý príkon: 100 V - 1000 W / 250 V - 2500 W 
 • USB-A zásuvka: max. 2,1 A 
 • menovitý prúd: 10 A</t>
        </is>
      </c>
    </row>
    <row r="1707">
      <c r="A1707" s="3" t="inlineStr">
        <is>
          <t>1.100170</t>
        </is>
      </c>
      <c r="B1707" s="2" t="inlineStr">
        <is>
          <t>Q2 power Cestovný adaptér, "World to Australia USB"</t>
        </is>
      </c>
      <c r="C1707" s="1" t="n">
        <v>5.49</v>
      </c>
      <c r="D1707" s="7" t="n">
        <f>HYPERLINK("https://www.somogyi.sk/product/q2-power-cestovny-adapter-world-to-australia-usb-1-100170-15927","https://www.somogyi.sk/product/q2-power-cestovny-adapter-world-to-australia-usb-1-100170-15927")</f>
        <v>0.0</v>
      </c>
      <c r="E1707" s="7" t="n">
        <f>HYPERLINK("https://www.somogyi.sk/data/img/product_main_images/small/15927.jpg","https://www.somogyi.sk/data/img/product_main_images/small/15927.jpg")</f>
        <v>0.0</v>
      </c>
      <c r="F1707" s="2" t="inlineStr">
        <is>
          <t>7640167560080</t>
        </is>
      </c>
      <c r="G1707" s="4" t="inlineStr">
        <is>
          <t xml:space="preserve"> • k uzemneným prístrojom: áno (okrem EURO) 
 • vstupná vidlica: AUS 
 • výstupná zásuvka: AUS/CHINA, IT, UK, CH, BRAZIL, USA, EURO (iba neuzemnené!) 
 • menovité napätie: 100 V - 250 V 
 • menovitý príkon: 100 V - 1000 W / 250 V - 2500 W 
 • menovitý prúd: 10 A 
 • USB-A zásuvka: max. 2,1 A</t>
        </is>
      </c>
    </row>
    <row r="1708">
      <c r="A1708" s="3" t="inlineStr">
        <is>
          <t>1.100210</t>
        </is>
      </c>
      <c r="B1708" s="2" t="inlineStr">
        <is>
          <t>Q2 power Cestovný adaptér "World to Switzerland USB"</t>
        </is>
      </c>
      <c r="C1708" s="1" t="n">
        <v>5.49</v>
      </c>
      <c r="D1708" s="7" t="n">
        <f>HYPERLINK("https://www.somogyi.sk/product/q2-power-cestovny-adapter-world-to-switzerland-usb-1-100210-15929","https://www.somogyi.sk/product/q2-power-cestovny-adapter-world-to-switzerland-usb-1-100210-15929")</f>
        <v>0.0</v>
      </c>
      <c r="E1708" s="7" t="n">
        <f>HYPERLINK("https://www.somogyi.sk/data/img/product_main_images/small/15929.jpg","https://www.somogyi.sk/data/img/product_main_images/small/15929.jpg")</f>
        <v>0.0</v>
      </c>
      <c r="F1708" s="2" t="inlineStr">
        <is>
          <t>7640167560127</t>
        </is>
      </c>
      <c r="G1708" s="4" t="inlineStr">
        <is>
          <t xml:space="preserve"> • k uzemneným prístrojom: áno (okrem EURO) 
 • vstupná vidlica: CH 
 • výstupná zásuvka: AUS/CHINA, IT, UK, CH, BRAZIL, USA, EURO (iba neuzemnené!) 
 • menovité napätie: 100 V - 250 V 
 • menovitý príkon: 100 V - 1000 W / 250 V - 2500 W 
 • menovitý prúd: 10 A 
 • USB-A zásuvka: max. 2,1 A</t>
        </is>
      </c>
    </row>
    <row r="1709">
      <c r="A1709" s="3" t="inlineStr">
        <is>
          <t>1.100110-TH</t>
        </is>
      </c>
      <c r="B1709" s="2" t="inlineStr">
        <is>
          <t>Cestovný adaptér "World to Europe USB" Q2 USB 5V</t>
        </is>
      </c>
      <c r="C1709" s="1" t="n">
        <v>22.49</v>
      </c>
      <c r="D1709" s="7" t="n">
        <f>HYPERLINK("https://www.somogyi.sk/product/cestovny-adapter-world-to-europe-usb-q2-usb-5v-1-100110-th-18578","https://www.somogyi.sk/product/cestovny-adapter-world-to-europe-usb-q2-usb-5v-1-100110-th-18578")</f>
        <v>0.0</v>
      </c>
      <c r="E1709" s="7" t="n">
        <f>HYPERLINK("https://www.somogyi.sk/data/img/product_main_images/small/18578.jpg","https://www.somogyi.sk/data/img/product_main_images/small/18578.jpg")</f>
        <v>0.0</v>
      </c>
      <c r="F1709" s="2" t="inlineStr">
        <is>
          <t>7640166327387</t>
        </is>
      </c>
      <c r="G1709" s="4" t="inlineStr">
        <is>
          <t xml:space="preserve"> • vstupná vidlica: GS 
 • výstupná zásuvka: AUS/CHINA, IT, UK, CH, BRAZIL, USA • EURO (iba neuzemnené) 
 • USB nabíjacia zásuvka: áno (USB 5V 2,4A) 
 • menovité napätie: 100-250 V 
 • menovitý prúd: 16 A 
 • menovitý príkon: max. 4000 W</t>
        </is>
      </c>
    </row>
    <row r="1710">
      <c r="A1710" s="3" t="inlineStr">
        <is>
          <t>1.200100-TH</t>
        </is>
      </c>
      <c r="B1710" s="2" t="inlineStr">
        <is>
          <t>Cestovný adaptér "Europe to UK" Q2, 7A</t>
        </is>
      </c>
      <c r="C1710" s="1" t="n">
        <v>9.79</v>
      </c>
      <c r="D1710" s="7" t="n">
        <f>HYPERLINK("https://www.somogyi.sk/product/cestovny-adapter-europe-to-uk-q2-7a-1-200100-th-18115","https://www.somogyi.sk/product/cestovny-adapter-europe-to-uk-q2-7a-1-200100-th-18115")</f>
        <v>0.0</v>
      </c>
      <c r="E1710" s="7" t="n">
        <f>HYPERLINK("https://www.somogyi.sk/data/img/product_main_images/small/18115.jpg","https://www.somogyi.sk/data/img/product_main_images/small/18115.jpg")</f>
        <v>0.0</v>
      </c>
      <c r="F1710" s="2" t="inlineStr">
        <is>
          <t>7640166327363</t>
        </is>
      </c>
      <c r="G1710" s="4" t="inlineStr">
        <is>
          <t xml:space="preserve"> • k uzemneným prístrojom: áno 
 • vstupná vidlica: UK 
 • výstupná zásuvka: EURO 
 • menovité napätie: 100 V - 250 V 
 • menovitý prúd: 7 A 
 • menovitý príkon: 100 V - 700 W / 250 V - 1750 W</t>
        </is>
      </c>
    </row>
    <row r="1711">
      <c r="A1711" s="3" t="inlineStr">
        <is>
          <t>1.200220</t>
        </is>
      </c>
      <c r="B1711" s="2" t="inlineStr">
        <is>
          <t>Q2 power Cestovný adaptér "France to Australia"</t>
        </is>
      </c>
      <c r="C1711" s="1" t="n">
        <v>2.89</v>
      </c>
      <c r="D1711" s="7" t="n">
        <f>HYPERLINK("https://www.somogyi.sk/product/q2-power-cestovny-adapter-france-to-australia-1-200220-15937","https://www.somogyi.sk/product/q2-power-cestovny-adapter-france-to-australia-1-200220-15937")</f>
        <v>0.0</v>
      </c>
      <c r="E1711" s="7" t="n">
        <f>HYPERLINK("https://www.somogyi.sk/data/img/product_main_images/small/15937.jpg","https://www.somogyi.sk/data/img/product_main_images/small/15937.jpg")</f>
        <v>0.0</v>
      </c>
      <c r="F1711" s="2" t="inlineStr">
        <is>
          <t>7640167560462</t>
        </is>
      </c>
      <c r="G1711" s="4" t="inlineStr">
        <is>
          <t xml:space="preserve"> • k uzemneným prístrojom: áno 
 • vstupná vidlica: AUS 
 • výstupná zásuvka: FRANCE 
 • menovité napätie: 100 V - 250 V 
 • menovitý príkon: 100 V - 1000 W / 250 V - 2500 W 
 • menovitý prúd: 10 A</t>
        </is>
      </c>
    </row>
    <row r="1712">
      <c r="A1712" s="3" t="inlineStr">
        <is>
          <t>1.200240</t>
        </is>
      </c>
      <c r="B1712" s="2" t="inlineStr">
        <is>
          <t>Q2 power Cestovný adaptér "France to Italy"</t>
        </is>
      </c>
      <c r="C1712" s="1" t="n">
        <v>2.89</v>
      </c>
      <c r="D1712" s="7" t="n">
        <f>HYPERLINK("https://www.somogyi.sk/product/q2-power-cestovny-adapter-france-to-italy-1-200240-15939","https://www.somogyi.sk/product/q2-power-cestovny-adapter-france-to-italy-1-200240-15939")</f>
        <v>0.0</v>
      </c>
      <c r="E1712" s="7" t="n">
        <f>HYPERLINK("https://www.somogyi.sk/data/img/product_main_images/small/15939.jpg","https://www.somogyi.sk/data/img/product_main_images/small/15939.jpg")</f>
        <v>0.0</v>
      </c>
      <c r="F1712" s="2" t="inlineStr">
        <is>
          <t>7640167560479</t>
        </is>
      </c>
      <c r="G1712" s="4" t="inlineStr">
        <is>
          <t xml:space="preserve"> • k uzemneným prístrojom: áno 
 • vstupná vidlica: IT 
 • výstupná zásuvka: FRANCE 
 • menovité napätie: 100 V - 250 V 
 • menovitý príkon: 100 V - 1000 W / 250 V - 2500 W 
 • menovitý prúd: 10 A</t>
        </is>
      </c>
    </row>
    <row r="1713">
      <c r="A1713" s="3" t="inlineStr">
        <is>
          <t>1.200230</t>
        </is>
      </c>
      <c r="B1713" s="2" t="inlineStr">
        <is>
          <t>Q2 power Cestovný adaptér "France to Switzerland"</t>
        </is>
      </c>
      <c r="C1713" s="1" t="n">
        <v>2.89</v>
      </c>
      <c r="D1713" s="7" t="n">
        <f>HYPERLINK("https://www.somogyi.sk/product/q2-power-cestovny-adapter-france-to-switzerland-1-200230-15938","https://www.somogyi.sk/product/q2-power-cestovny-adapter-france-to-switzerland-1-200230-15938")</f>
        <v>0.0</v>
      </c>
      <c r="E1713" s="7" t="n">
        <f>HYPERLINK("https://www.somogyi.sk/data/img/product_main_images/small/15938.jpg","https://www.somogyi.sk/data/img/product_main_images/small/15938.jpg")</f>
        <v>0.0</v>
      </c>
      <c r="F1713" s="2" t="inlineStr">
        <is>
          <t>7640167560486</t>
        </is>
      </c>
      <c r="G1713" s="4" t="inlineStr">
        <is>
          <t xml:space="preserve"> • k uzemneným prístrojom: áno 
 • vstupná vidlica: CH 
 • výstupná zásuvka: FRANCE 
 • menovité napätie: 100 V - 250 V 
 • menovitý príkon: 100 V - 1000 W / 250 V - 2500 W 
 • menovitý prúd: 10 A</t>
        </is>
      </c>
    </row>
    <row r="1714">
      <c r="A1714" s="3" t="inlineStr">
        <is>
          <t>1.100100-TH</t>
        </is>
      </c>
      <c r="B1714" s="2" t="inlineStr">
        <is>
          <t>Cestovný adaptér "World to Europe" Q2</t>
        </is>
      </c>
      <c r="C1714" s="1" t="n">
        <v>12.09</v>
      </c>
      <c r="D1714" s="7" t="n">
        <f>HYPERLINK("https://www.somogyi.sk/product/cestovny-adapter-world-to-europe-q2-1-100100-th-17699","https://www.somogyi.sk/product/cestovny-adapter-world-to-europe-q2-1-100100-th-17699")</f>
        <v>0.0</v>
      </c>
      <c r="E1714" s="7" t="n">
        <f>HYPERLINK("https://www.somogyi.sk/data/img/product_main_images/small/17699.jpg","https://www.somogyi.sk/data/img/product_main_images/small/17699.jpg")</f>
        <v>0.0</v>
      </c>
      <c r="F1714" s="2" t="inlineStr">
        <is>
          <t>7640166325406</t>
        </is>
      </c>
      <c r="G1714" s="4" t="inlineStr">
        <is>
          <t xml:space="preserve"> • k uzemneným prístrojom: áno 
 • vstupná vidlica: EURO 
 • výstupná zásuvka: AUS/CHINA, IT, UK, CH, BRAZIL, USA, EURO (iba neuzemnené) 
 • menovité napätie: 100-250 V 
 • menovitý prúd: 16 A 
 • menovitý príkon: 100 V - 1600 W / 250 V - 4000 W</t>
        </is>
      </c>
    </row>
    <row r="1715">
      <c r="A1715" s="3" t="inlineStr">
        <is>
          <t>1.200110</t>
        </is>
      </c>
      <c r="B1715" s="2" t="inlineStr">
        <is>
          <t>Q2 power Cestovný adaptér "Europe to USA"</t>
        </is>
      </c>
      <c r="C1715" s="1" t="n">
        <v>10.09</v>
      </c>
      <c r="D1715" s="7" t="n">
        <f>HYPERLINK("https://www.somogyi.sk/product/q2-power-cestovny-adapter-europe-to-usa-1-200110-15931","https://www.somogyi.sk/product/q2-power-cestovny-adapter-europe-to-usa-1-200110-15931")</f>
        <v>0.0</v>
      </c>
      <c r="E1715" s="7" t="n">
        <f>HYPERLINK("https://www.somogyi.sk/data/img/product_main_images/small/15931.jpg","https://www.somogyi.sk/data/img/product_main_images/small/15931.jpg")</f>
        <v>0.0</v>
      </c>
      <c r="F1715" s="2" t="inlineStr">
        <is>
          <t>7640167560332</t>
        </is>
      </c>
      <c r="G1715" s="4" t="inlineStr">
        <is>
          <t xml:space="preserve"> • k uzemneným prístrojom: áno 
 • vstupná vidlica: USA 
 • výstupná zásuvka: EURO 
 • menovité napätie: 100 V - 250 V 
 • menovitý príkon: 100 V - 1500 W / 250 V - 3750 W 
 • menovitý prúd: 15 A</t>
        </is>
      </c>
    </row>
    <row r="1716">
      <c r="A1716" s="6" t="inlineStr">
        <is>
          <t xml:space="preserve">   Vykurovanie, Odvlhčovanie / Elektrický krb</t>
        </is>
      </c>
      <c r="B1716" s="6" t="inlineStr">
        <is>
          <t/>
        </is>
      </c>
      <c r="C1716" s="6" t="inlineStr">
        <is>
          <t/>
        </is>
      </c>
      <c r="D1716" s="6" t="inlineStr">
        <is>
          <t/>
        </is>
      </c>
      <c r="E1716" s="6" t="inlineStr">
        <is>
          <t/>
        </is>
      </c>
      <c r="F1716" s="6" t="inlineStr">
        <is>
          <t/>
        </is>
      </c>
      <c r="G1716" s="6" t="inlineStr">
        <is>
          <t/>
        </is>
      </c>
    </row>
    <row r="1717">
      <c r="A1717" s="3" t="inlineStr">
        <is>
          <t>FKKF 01</t>
        </is>
      </c>
      <c r="B1717" s="2" t="inlineStr">
        <is>
          <t>BORA BORA biely rám pre krbovú vložku</t>
        </is>
      </c>
      <c r="C1717" s="1" t="n">
        <v>216.9</v>
      </c>
      <c r="D1717" s="7" t="n">
        <f>HYPERLINK("https://www.somogyi.sk/product/bora-bora-biely-ram-pre-krbovu-vlozku-fkkf-01-17866","https://www.somogyi.sk/product/bora-bora-biely-ram-pre-krbovu-vlozku-fkkf-01-17866")</f>
        <v>0.0</v>
      </c>
      <c r="E1717" s="7" t="n">
        <f>HYPERLINK("https://www.somogyi.sk/data/img/product_main_images/small/17866.jpg","https://www.somogyi.sk/data/img/product_main_images/small/17866.jpg")</f>
        <v>0.0</v>
      </c>
      <c r="F1717" s="2" t="inlineStr">
        <is>
          <t>5999084958886</t>
        </is>
      </c>
      <c r="G1717" s="4" t="inlineStr">
        <is>
          <t xml:space="preserve"> • materiál: laminované drevotrieska 
 • rozmery: 95 x 80 x 26,5 cm 
 • ďalšie informácie: možno použiť so zabudovateľným elektrickým krbom HOME FKKI 03 • zabudovateľný elektrický krb nie je súčasťou balenia</t>
        </is>
      </c>
    </row>
    <row r="1718">
      <c r="A1718" s="3" t="inlineStr">
        <is>
          <t>FKK MILANO</t>
        </is>
      </c>
      <c r="B1718" s="2" t="inlineStr">
        <is>
          <t>FKKF 02   FKKI 03</t>
        </is>
      </c>
      <c r="C1718" s="1" t="n">
        <v>455.9</v>
      </c>
      <c r="D1718" s="7" t="n">
        <f>HYPERLINK("https://www.somogyi.sk/product/fkkf-02-fkki-03-fkk-milano-18057","https://www.somogyi.sk/product/fkkf-02-fkki-03-fkk-milano-18057")</f>
        <v>0.0</v>
      </c>
      <c r="E1718" s="7" t="n">
        <f>HYPERLINK("https://www.somogyi.sk/data/img/product_main_images/small/18057.jpg","https://www.somogyi.sk/data/img/product_main_images/small/18057.jpg")</f>
        <v>0.0</v>
      </c>
      <c r="F1718" s="2" t="inlineStr">
        <is>
          <t>5999084960797</t>
        </is>
      </c>
      <c r="G1718" s="4" t="inlineStr">
        <is>
          <t xml:space="preserve"> • umiestnenie: stojanový 
 • diaľkový ovládač: áno 
 • stupne teploty: 1000 W / 2000 W 
 • ventilátor: áno (predný výfukový bod) 
 • stupne svetelných efektov: 5 stupní 
 • zdroj svetla: LED 
 • samostatne zapnuteľný plameňový efekt: áno 
 • programovateľné: týždenný program / detekcia otvorenia okna 
 • termostat: áno (elektronický termostat) 
 • N/A: 15 °C - 30 °C 
 • materiál: ohrievač: kov / rám: laminovaná drevotrieska 
 • N/A: 30 m² 
 • hlučnosť: 50 dB(A) 
 • vhodný aj do kúpeľne: nie 
 • dĺžka napájacieho kábla: 1,5 m 
 • napájanie: 230 V~ / 50 Hz 
 • napájanie diaľkového ovládača: 2 x AAA batéria (nie je príslušenstvom) 
 • rozmery: 96,5 x 76,5 x 27,5 cm 
 • ďalšie informácie: obsah balíka: FKKF 02   FKKI 03</t>
        </is>
      </c>
    </row>
    <row r="1719">
      <c r="A1719" s="3" t="inlineStr">
        <is>
          <t>FKK 04</t>
        </is>
      </c>
      <c r="B1719" s="2" t="inlineStr">
        <is>
          <t>Panoramatický elektrický krb</t>
        </is>
      </c>
      <c r="C1719" s="1" t="n">
        <v>244.9</v>
      </c>
      <c r="D1719" s="7" t="n">
        <f>HYPERLINK("https://www.somogyi.sk/product/panoramaticky-elektricky-krb-fkk-04-16938","https://www.somogyi.sk/product/panoramaticky-elektricky-krb-fkk-04-16938")</f>
        <v>0.0</v>
      </c>
      <c r="E1719" s="7" t="n">
        <f>HYPERLINK("https://www.somogyi.sk/data/img/product_main_images/small/16938.jpg","https://www.somogyi.sk/data/img/product_main_images/small/16938.jpg")</f>
        <v>0.0</v>
      </c>
      <c r="F1719" s="2" t="inlineStr">
        <is>
          <t>5999084949709</t>
        </is>
      </c>
      <c r="G1719" s="4" t="inlineStr">
        <is>
          <t xml:space="preserve"> • umiestnenie: stojanový 
 • stupne teploty: 925 W / 1850 W 
 • ventilátor: áno 
 • stupne svetelných efektov: priebežná regulácia 
 • zdroj svetla: 4 W LED 
 • termostat: mechanický 
 • N/A: 28 m² 
 • hlučnosť: 50 dB(A) 
 • vhodný aj do kúpeľne: nie 
 • dĺžka napájacieho kábla: 1,6 m 
 • napájanie: 230 V~  / 50 Hz 
 • rozmery: 63,5 x 67 x 36 cm 
 • hmotnosť: 12 kg 
 • ďalšie informácie: Tento výrobok nie je vhodný na osvetlenie miestností v domácnosti!</t>
        </is>
      </c>
    </row>
    <row r="1720">
      <c r="A1720" s="3" t="inlineStr">
        <is>
          <t>FKK 3000 WIFI</t>
        </is>
      </c>
      <c r="B1720" s="2" t="inlineStr">
        <is>
          <t>Smart nástenný krb</t>
        </is>
      </c>
      <c r="C1720" s="1" t="n">
        <v>275.9</v>
      </c>
      <c r="D1720" s="7" t="n">
        <f>HYPERLINK("https://www.somogyi.sk/product/smart-nastenny-krb-fkk-3000-wifi-16116","https://www.somogyi.sk/product/smart-nastenny-krb-fkk-3000-wifi-16116")</f>
        <v>0.0</v>
      </c>
      <c r="E1720" s="7" t="n">
        <f>HYPERLINK("https://www.somogyi.sk/data/img/product_main_images/small/16116.jpg","https://www.somogyi.sk/data/img/product_main_images/small/16116.jpg")</f>
        <v>0.0</v>
      </c>
      <c r="F1720" s="2" t="inlineStr">
        <is>
          <t>5999084941482</t>
        </is>
      </c>
      <c r="G1720" s="4" t="inlineStr">
        <is>
          <t xml:space="preserve"> • umiestnenie: nástenný 
 • wifi: áno 
 • diaľkový ovládač: áno 
 • stupne teploty: 1000 W / 2000 W 
 • ventilátor: áno 
 • stupne svetelných efektov: možnosť zmeniť farbu plameňového efektu 
 • zdroj svetla: LED 
 • samostatne zapnuteľný plameňový efekt: áno 
 • programovateľné: s aplikáciou pre smartfón(iOS 9.0 → vagy Android 4.4 →), senzor otvorenia okna 
 • termostat: áno 
 • N/A: 10 °C - 30 °C (nastaviteľný v aplikácii Tuya) 
 • materiál: predný panel z kaleného skla 
 • N/A: 30 m² 
 • hlučnosť: 56 dB(A) 
 • vhodný aj do kúpeľne: nie 
 • dĺžka napájacieho kábla: 1,7 m 
 • napájanie: 230 V~ / 50 Hz 
 • rozmery: 100 x 50 x 13 cm 
 • hmotnosť: 16 Kg 
 • ďalšie informácie: Tento výrobok nie je vhodný na osvetlenie miestností v domácnosti!</t>
        </is>
      </c>
    </row>
    <row r="1721">
      <c r="A1721" s="3" t="inlineStr">
        <is>
          <t>FKK 14</t>
        </is>
      </c>
      <c r="B1721" s="2" t="inlineStr">
        <is>
          <t>Elektrický krb</t>
        </is>
      </c>
      <c r="C1721" s="1" t="n">
        <v>145.9</v>
      </c>
      <c r="D1721" s="7" t="n">
        <f>HYPERLINK("https://www.somogyi.sk/product/elektricky-krb-fkk-14-16936","https://www.somogyi.sk/product/elektricky-krb-fkk-14-16936")</f>
        <v>0.0</v>
      </c>
      <c r="E1721" s="7" t="n">
        <f>HYPERLINK("https://www.somogyi.sk/data/img/product_main_images/small/16936.jpg","https://www.somogyi.sk/data/img/product_main_images/small/16936.jpg")</f>
        <v>0.0</v>
      </c>
      <c r="F1721" s="2" t="inlineStr">
        <is>
          <t>5999084949686</t>
        </is>
      </c>
      <c r="G1721" s="4" t="inlineStr">
        <is>
          <t xml:space="preserve"> • umiestnenie: stojanový 
 • stupne teploty: 1000 W / 2000 W 
 • ventilátor: áno 
 • zdroj svetla: LED (5 W) 
 • termostat: mechanický 
 • N/A: 30 m² 
 • hlučnosť: 50 dB(A) 
 • vhodný aj do kúpeľne: nie 
 • dĺžka napájacieho kábla: 1,6 m 
 • napájanie: 230 V~  / 50 Hz 
 • rozmery: D41 x 65 cm 
 • hmotnosť: 14 kg 
 • ďalšie informácie: Tento výrobok nie je vhodný na osvetlenie miestností v domácnosti!</t>
        </is>
      </c>
    </row>
    <row r="1722">
      <c r="A1722" s="3" t="inlineStr">
        <is>
          <t>FKK 15</t>
        </is>
      </c>
      <c r="B1722" s="2" t="inlineStr">
        <is>
          <t>Elektrický krb</t>
        </is>
      </c>
      <c r="C1722" s="1" t="n">
        <v>89.39</v>
      </c>
      <c r="D1722" s="7" t="n">
        <f>HYPERLINK("https://www.somogyi.sk/product/elektricky-krb-fkk-15-15976","https://www.somogyi.sk/product/elektricky-krb-fkk-15-15976")</f>
        <v>0.0</v>
      </c>
      <c r="E1722" s="7" t="n">
        <f>HYPERLINK("https://www.somogyi.sk/data/img/product_main_images/small/15976.jpg","https://www.somogyi.sk/data/img/product_main_images/small/15976.jpg")</f>
        <v>0.0</v>
      </c>
      <c r="F1722" s="2" t="inlineStr">
        <is>
          <t>5999084940102</t>
        </is>
      </c>
      <c r="G1722" s="4" t="inlineStr">
        <is>
          <t xml:space="preserve"> • umiestnenie: stojanový 
 • stupne teploty: 1000 W / 2000 W 
 • ventilátor: áno 
 • zdroj svetla: LED 
 • termostat: mechanický 
 • materiál: plast 
 • N/A: 30 m² 
 • hlučnosť: 50 dB(A) 
 • vhodný aj do kúpeľne: nie 
 • dĺžka napájacieho kábla: 1,6 m 
 • napájanie: 230 V~  / 50 Hz 
 • rozmery: 39,5 x 56,5 x 23 cm 
 • hmotnosť: 5,2 kg 
 • ďalšie informácie: Výrobok nie je vhodný na osvetlenie miestností v domácnosti! Výrobok je určený výlučne na vykurovanie dobre izolovaných miestností alebo na príležitostné používanie!</t>
        </is>
      </c>
    </row>
    <row r="1723">
      <c r="A1723" s="3" t="inlineStr">
        <is>
          <t>FKKF06</t>
        </is>
      </c>
      <c r="B1723" s="2" t="inlineStr">
        <is>
          <t>CALGARY admiral rám pre krbovú vložku, orech</t>
        </is>
      </c>
      <c r="C1723" s="1" t="n">
        <v>316.9</v>
      </c>
      <c r="D1723" s="7" t="n">
        <f>HYPERLINK("https://www.somogyi.sk/product/calgary-admiral-ram-pre-krbovu-vlozku-orech-fkkf06-19148","https://www.somogyi.sk/product/calgary-admiral-ram-pre-krbovu-vlozku-orech-fkkf06-19148")</f>
        <v>0.0</v>
      </c>
      <c r="E1723" s="7" t="n">
        <f>HYPERLINK("https://www.somogyi.sk/data/img/product_main_images/small/19148.jpg","https://www.somogyi.sk/data/img/product_main_images/small/19148.jpg")</f>
        <v>0.0</v>
      </c>
      <c r="F1723" s="2" t="inlineStr">
        <is>
          <t>5999084971410</t>
        </is>
      </c>
      <c r="G1723" s="4" t="inlineStr">
        <is>
          <t xml:space="preserve"> • farba: orech admiral 
 • rozmery: 96,5 x 76,5 x 27,5 cm</t>
        </is>
      </c>
    </row>
    <row r="1724">
      <c r="A1724" s="3" t="inlineStr">
        <is>
          <t>FKK 17</t>
        </is>
      </c>
      <c r="B1724" s="2" t="inlineStr">
        <is>
          <t>Elektrický nástenný krb</t>
        </is>
      </c>
      <c r="C1724" s="1" t="n">
        <v>255.9</v>
      </c>
      <c r="D1724" s="7" t="n">
        <f>HYPERLINK("https://www.somogyi.sk/product/elektricky-nastenny-krb-fkk-17-16937","https://www.somogyi.sk/product/elektricky-nastenny-krb-fkk-17-16937")</f>
        <v>0.0</v>
      </c>
      <c r="E1724" s="7" t="n">
        <f>HYPERLINK("https://www.somogyi.sk/data/img/product_main_images/small/16937.jpg","https://www.somogyi.sk/data/img/product_main_images/small/16937.jpg")</f>
        <v>0.0</v>
      </c>
      <c r="F1724" s="2" t="inlineStr">
        <is>
          <t>5999084949693</t>
        </is>
      </c>
      <c r="G1724" s="4" t="inlineStr">
        <is>
          <t xml:space="preserve"> • umiestnenie: nástenný 
 • diaľkový ovládač: áno 
 • stupne teploty: 1000 W / 2000 W 
 • ventilátor: áno 
 • stupne svetelných efektov: 5 stupňov 
 • zdroj svetla: LED (10 W) 
 • samostatne zapnuteľný plameňový efekt: áno 
 • termostat: áno 
 • N/A: 15 °C - 30 °C 
 • materiál: kalené predné sklo 
 • N/A: 30 m² 
 • hlučnosť: 50 dB(A) 
 • vhodný aj do kúpeľne: nie 
 • dĺžka napájacieho kábla: 1,7 m 
 • napájanie: 230 V~  / 50 Hz 
 • rozmery: 88,5 x 48 x 13,5 cm 
 • hmotnosť: 13,6 kg 
 • ďalšie informácie: Tento výrobok nie je vhodný na osvetlenie miestností v domácnosti!</t>
        </is>
      </c>
    </row>
    <row r="1725">
      <c r="A1725" s="3" t="inlineStr">
        <is>
          <t>FKKI 06</t>
        </is>
      </c>
      <c r="B1725" s="2" t="inlineStr">
        <is>
          <t>Zabudovateľný krb</t>
        </is>
      </c>
      <c r="C1725" s="1" t="n">
        <v>327.9</v>
      </c>
      <c r="D1725" s="7" t="n">
        <f>HYPERLINK("https://www.somogyi.sk/product/zabudovatelny-krb-fkki-06-17784","https://www.somogyi.sk/product/zabudovatelny-krb-fkki-06-17784")</f>
        <v>0.0</v>
      </c>
      <c r="E1725" s="7" t="n">
        <f>HYPERLINK("https://www.somogyi.sk/data/img/product_main_images/small/17784.jpg","https://www.somogyi.sk/data/img/product_main_images/small/17784.jpg")</f>
        <v>0.0</v>
      </c>
      <c r="F1725" s="2" t="inlineStr">
        <is>
          <t>5999084958060</t>
        </is>
      </c>
      <c r="G1725" s="4" t="inlineStr">
        <is>
          <t xml:space="preserve"> • umiestnenie: zabudovateľný alebo montáž na stenu 
 • diaľkový ovládač: áno 
 • stupne teploty: 1000 W / 2000 W 
 • ventilátor: áno 
 • zdroj svetla: zabudovaný LED zdroj svetla (max 13 W, nedá sa vymeniť) 
 • programovateľné: áno 
 • termostat: elektronický termostat 
 • materiál: kov / sklo 
 • N/A: 30 m² 
 • hlučnosť: 50 dB(A) 
 • vhodný aj do kúpeľne: nie 
 • dĺžka napájacieho kábla: 1,5 m 
 • napájanie: 230 V~ / 50 Hz 
 • napájanie diaľkového ovládača: 2 x AAA batéria (nie je príslušenstvom) 
 • rozmery: 127 x 45 x 17 cm 
 • montážne rozmery: 118 x 43,5 cm 
 • hmotnosť: 23 kg</t>
        </is>
      </c>
    </row>
    <row r="1726">
      <c r="A1726" s="3" t="inlineStr">
        <is>
          <t>FKK PALERMO</t>
        </is>
      </c>
      <c r="B1726" s="2" t="inlineStr">
        <is>
          <t>FKKF 04   FKKI 03</t>
        </is>
      </c>
      <c r="C1726" s="1" t="n">
        <v>464.9</v>
      </c>
      <c r="D1726" s="7" t="n">
        <f>HYPERLINK("https://www.somogyi.sk/product/fkkf-04-fkki-03-fkk-palermo-18059","https://www.somogyi.sk/product/fkkf-04-fkki-03-fkk-palermo-18059")</f>
        <v>0.0</v>
      </c>
      <c r="E1726" s="7" t="n">
        <f>HYPERLINK("https://www.somogyi.sk/data/img/product_main_images/small/18059.jpg","https://www.somogyi.sk/data/img/product_main_images/small/18059.jpg")</f>
        <v>0.0</v>
      </c>
      <c r="F1726" s="2" t="inlineStr">
        <is>
          <t>5999084960810</t>
        </is>
      </c>
      <c r="G1726" s="4" t="inlineStr">
        <is>
          <t xml:space="preserve"> • umiestnenie: stojanový 
 • diaľkový ovládač: áno 
 • stupne teploty: 1000 W / 2000 W 
 • ventilátor: áno (predný výfukový bod) 
 • stupne svetelných efektov: 5 stupní 
 • zdroj svetla: LED 
 • samostatne zapnuteľný plameňový efekt: áno 
 • programovateľné: týždenný program / detekcia otvorenia okna 
 • termostat: áno (elektronický termostat) 
 • N/A: 15 °C - 30 °C 
 • materiál: ohrievač: kov / rám: laminovaná drevotrieska 
 • N/A: 30 m² 
 • hlučnosť: 50 dB(A) 
 • vhodný aj do kúpeľne: nie 
 • dĺžka napájacieho kábla: 1,5 m 
 • napájanie: 230 V~ / 50 Hz 
 • napájanie diaľkového ovládača: 2 x AAA batéria (nie je príslušenstvom) 
 • rozmery: 92,5 x 76 x 25 cm 
 • ďalšie informácie: obsah balíka: FKKF 04   FKKI 03</t>
        </is>
      </c>
    </row>
    <row r="1727">
      <c r="A1727" s="3" t="inlineStr">
        <is>
          <t>FKKI 03</t>
        </is>
      </c>
      <c r="B1727" s="2" t="inlineStr">
        <is>
          <t>Zabudovateľný elektrický krb</t>
        </is>
      </c>
      <c r="C1727" s="1" t="n">
        <v>208.9</v>
      </c>
      <c r="D1727" s="7" t="n">
        <f>HYPERLINK("https://www.somogyi.sk/product/zabudovatelny-elektricky-krb-fkki-03-16104","https://www.somogyi.sk/product/zabudovatelny-elektricky-krb-fkki-03-16104")</f>
        <v>0.0</v>
      </c>
      <c r="E1727" s="7" t="n">
        <f>HYPERLINK("https://www.somogyi.sk/data/img/product_main_images/small/16104.jpg","https://www.somogyi.sk/data/img/product_main_images/small/16104.jpg")</f>
        <v>0.0</v>
      </c>
      <c r="F1727" s="2" t="inlineStr">
        <is>
          <t>5999084941369</t>
        </is>
      </c>
      <c r="G1727" s="4" t="inlineStr">
        <is>
          <t xml:space="preserve"> • umiestnenie: zabudovateľný 
 • stupne teploty: 1000 W / 2000 W 
 • stupne svetelných efektov: 5 stupňov 
 • zdroj svetla: LED 
 • samostatne zapnuteľný plameňový efekt: áno 
 •  
 • N/A: 15 °C - 30 °C 
 • ochrana proti prehriatiu: automatické vypnutie v prípade prehriatia 
 • N/A: 30 m² 
 • hlučnosť: 50 dB(A) 
 • vhodný aj do kúpeľne: nie 
 • dĺžka napájacieho kábla: 1,5 m 
 • napájanie: 230 V~ / 50 Hz 
 • napájanie diaľkového ovládača: 2 x AAA batéria (nie je príslušenstvom) 
 • rozmery: 60 x 44 x 20 cm 
 • hmotnosť: 10,2 kg 
 • ďalšie informácie: Tento výrobok nie je vhodný na osvetlenie miestností v domácnosti.</t>
        </is>
      </c>
    </row>
    <row r="1728">
      <c r="A1728" s="3" t="inlineStr">
        <is>
          <t>FKK BOLOGNA</t>
        </is>
      </c>
      <c r="B1728" s="2" t="inlineStr">
        <is>
          <t>FKKF 03   FKKI 03</t>
        </is>
      </c>
      <c r="C1728" s="1" t="n">
        <v>440.9</v>
      </c>
      <c r="D1728" s="7" t="n">
        <f>HYPERLINK("https://www.somogyi.sk/product/fkkf-03-fkki-03-fkk-bologna-18058","https://www.somogyi.sk/product/fkkf-03-fkki-03-fkk-bologna-18058")</f>
        <v>0.0</v>
      </c>
      <c r="E1728" s="7" t="n">
        <f>HYPERLINK("https://www.somogyi.sk/data/img/product_main_images/small/18058.jpg","https://www.somogyi.sk/data/img/product_main_images/small/18058.jpg")</f>
        <v>0.0</v>
      </c>
      <c r="F1728" s="2" t="inlineStr">
        <is>
          <t>5999084960803</t>
        </is>
      </c>
      <c r="G1728" s="4" t="inlineStr">
        <is>
          <t xml:space="preserve"> • umiestnenie: stojanový 
 • diaľkový ovládač: áno 
 • stupne teploty: 1000 W / 2000 W 
 • ventilátor: áno (predný výfukový bod) 
 • stupne svetelných efektov: 5 stupní 
 • zdroj svetla: LED 
 • samostatne zapnuteľný plameňový efekt: áno 
 • programovateľné: týždenný program / detekcia otvorenia okna 
 • termostat: áno (elektronický termostat) 
 • N/A: 15 °C - 30 °C 
 • materiál: ohrievač: kov / rám: laminovaná drevotrieska 
 • N/A: 30 m² 
 • hlučnosť: 50 dB(A) 
 • vhodný aj do kúpeľne: nie 
 • dĺžka napájacieho kábla: 1,5 m 
 • napájanie: 230 V~ / 50 Hz 
 • napájanie diaľkového ovládača: 2 x AAA batéria (nie je príslušenstvom) 
 • rozmery: 96,5 x 76,5 x 27,5 cm 
 • ďalšie informácie: obsah balíka: FKKF 03   FKKI 03</t>
        </is>
      </c>
    </row>
    <row r="1729">
      <c r="A1729" s="3" t="inlineStr">
        <is>
          <t>FKKF 02</t>
        </is>
      </c>
      <c r="B1729" s="2" t="inlineStr">
        <is>
          <t>MILANO tobacco buk rám pre krbovú vložku</t>
        </is>
      </c>
      <c r="C1729" s="1" t="n">
        <v>262.9</v>
      </c>
      <c r="D1729" s="7" t="n">
        <f>HYPERLINK("https://www.somogyi.sk/product/milano-tobacco-buk-ram-pre-krbovu-vlozku-fkkf-02-17867","https://www.somogyi.sk/product/milano-tobacco-buk-ram-pre-krbovu-vlozku-fkkf-02-17867")</f>
        <v>0.0</v>
      </c>
      <c r="E1729" s="7" t="n">
        <f>HYPERLINK("https://www.somogyi.sk/data/img/product_main_images/small/17867.jpg","https://www.somogyi.sk/data/img/product_main_images/small/17867.jpg")</f>
        <v>0.0</v>
      </c>
      <c r="F1729" s="2" t="inlineStr">
        <is>
          <t>5999084958893</t>
        </is>
      </c>
      <c r="G1729" s="4" t="inlineStr">
        <is>
          <t xml:space="preserve"> • materiál: laminované drevotrieska 
 • rozmery: 96,5 x 76,5 x 27,5 cm 
 • ďalšie informácie: možno použiť so zabudovateľným elektrickým krbom HOME FKKI 03 • zabudovateľný elektrický krb nie je súčasťou balenia</t>
        </is>
      </c>
    </row>
    <row r="1730">
      <c r="A1730" s="3" t="inlineStr">
        <is>
          <t>FKK 10</t>
        </is>
      </c>
      <c r="B1730" s="2" t="inlineStr">
        <is>
          <t>Elektrický panoramatický krb</t>
        </is>
      </c>
      <c r="C1730" s="1" t="n">
        <v>468.9</v>
      </c>
      <c r="D1730" s="7" t="n">
        <f>HYPERLINK("https://www.somogyi.sk/product/elektricky-panoramaticky-krb-fkk-10-17760","https://www.somogyi.sk/product/elektricky-panoramaticky-krb-fkk-10-17760")</f>
        <v>0.0</v>
      </c>
      <c r="E1730" s="7" t="n">
        <f>HYPERLINK("https://www.somogyi.sk/data/img/product_main_images/small/17760.jpg","https://www.somogyi.sk/data/img/product_main_images/small/17760.jpg")</f>
        <v>0.0</v>
      </c>
      <c r="F1730" s="2" t="inlineStr">
        <is>
          <t>5999084957827</t>
        </is>
      </c>
      <c r="G1730" s="4" t="inlineStr">
        <is>
          <t xml:space="preserve"> • umiestnenie: nástenný, stojanový 
 • diaľkový ovládač: áno 
 • stupne teploty: 2 stupne ohrievania: 1000 W / 2000 W 
 • ventilátor: áno 
 • stupne svetelných efektov: 3 stupne (vysoká - stredná - nízka) 
 • zdroj svetla: LED, 5 W, nevymeniteľný 
 • samostatne zapnuteľný plameňový efekt: áno 
 • programovateľné: týždenný program 
 • termostat: elektronický termostat 
 • N/A: 15 °C - 30 °C 
 • N/A: 30 m² 
 • hlučnosť: 58 dB(A) 
 • vhodný aj do kúpeľne: nie 
 • dĺžka napájacieho kábla: 1,8 m 
 • napájanie: 230 V~ / 50 Hz 
 • napájanie diaľkového ovládača: 2 x AAA batéria (nie je príslušenstvom) 
 • rozmery: 112 x 45 x 30,5 cm 
 • hmotnosť: 26,7 kg 
 • ďalšie informácie: 8 režimov osvetlenia krbu / vypínateľné dekoračné osvetlenie / ochrana proti prehriatiu</t>
        </is>
      </c>
    </row>
    <row r="1731">
      <c r="A1731" s="3" t="inlineStr">
        <is>
          <t>FKK 24</t>
        </is>
      </c>
      <c r="B1731" s="2" t="inlineStr">
        <is>
          <t>Elektrický nástenný krb, s podstavcom</t>
        </is>
      </c>
      <c r="C1731" s="1" t="n">
        <v>338.9</v>
      </c>
      <c r="D1731" s="7" t="n">
        <f>HYPERLINK("https://www.somogyi.sk/product/elektricky-nastenny-krb-s-podstavcom-fkk-24-17759","https://www.somogyi.sk/product/elektricky-nastenny-krb-s-podstavcom-fkk-24-17759")</f>
        <v>0.0</v>
      </c>
      <c r="E1731" s="7" t="n">
        <f>HYPERLINK("https://www.somogyi.sk/data/img/product_main_images/small/17759.jpg","https://www.somogyi.sk/data/img/product_main_images/small/17759.jpg")</f>
        <v>0.0</v>
      </c>
      <c r="F1731" s="2" t="inlineStr">
        <is>
          <t>5999084957810</t>
        </is>
      </c>
      <c r="G1731" s="4" t="inlineStr">
        <is>
          <t xml:space="preserve"> • umiestnenie: nástenný, stojanový 
 • diaľkový ovládač: áno 
 • stupne teploty: 2 stupne ohrievania: 900 W / 1800 W 
 • ventilátor: áno 
 • stupne svetelných efektov: 3 stupne (vysoká - stredná - nízka) 
 • zdroj svetla: LED, 5 W, nevymeniteľný 
 • samostatne zapnuteľný plameňový efekt: áno 
 • programovateľné: týždenný program 
 • termostat: elektronický termostat 
 • N/A: 15 °C - 30 °C 
 • materiál: kalené sklo 
 • N/A: 27 m² 
 • hlučnosť: 58 dB(A) 
 • vhodný aj do kúpeľne: nie 
 • dĺžka napájacieho kábla: 1,8 m 
 • napájanie: 230 V~ / 50 Hz 
 • napájanie diaľkového ovládača: 1 x 3 V CR 2025 batéria (je príslušenstvom) 
 • rozmery: montovaný na stenu: 107 x 43,5 x 13 cm • postavený na podstavec: 107 x 50 x 24 cm 
 • hmotnosť: 18,6 kg 
 • ďalšie informácie: ochrana proti prepätiu</t>
        </is>
      </c>
    </row>
    <row r="1732">
      <c r="A1732" s="3" t="inlineStr">
        <is>
          <t>FKKCALGARY</t>
        </is>
      </c>
      <c r="B1732" s="2" t="inlineStr">
        <is>
          <t>FKKF06   FKKI 03 KIT</t>
        </is>
      </c>
      <c r="C1732" s="1" t="n">
        <v>496.9</v>
      </c>
      <c r="D1732" s="7" t="n">
        <f>HYPERLINK("https://www.somogyi.sk/product/fkkf06-fkki-03-kit-fkkcalgary-19149","https://www.somogyi.sk/product/fkkf06-fkki-03-kit-fkkcalgary-19149")</f>
        <v>0.0</v>
      </c>
      <c r="E1732" s="7" t="n">
        <f>HYPERLINK("https://www.somogyi.sk/data/img/product_main_images/small/19149.jpg","https://www.somogyi.sk/data/img/product_main_images/small/19149.jpg")</f>
        <v>0.0</v>
      </c>
      <c r="F1732" s="2" t="inlineStr">
        <is>
          <t>5999084971427</t>
        </is>
      </c>
      <c r="G1732" s="4" t="inlineStr">
        <is>
          <t xml:space="preserve"> • umiestnenie: stacionárny 
 • farba: orech admiral 
 • stupne teploty: 1000 W / 2000 W 
 • stupne svetelných efektov: 5 stupňov 
 • zdroj svetla: LED 
 • samostatne zapnuteľný plameňový efekt: áno 
 •  
 • N/A: 15 °C - 30 °C 
 • ochrana proti prehriatiu: automatické vypnutie v prípade prehriatia 
 • N/A: 30 m² 
 • hlučnosť: 50 dB(A) 
 • vhodný aj do kúpeľne: nie 
 • dĺžka napájacieho kábla: 1,5 m 
 • napájanie: 230 V~ / 50 Hz 
 • napájanie diaľkového ovládača: 2 x AAA batéria (nie je príslušenstvom) 
 • rozmery: 96,5 x 76,5 x 27,5 cm 
 • hmotnosť: FKKF06   FKKI 03</t>
        </is>
      </c>
    </row>
    <row r="1733">
      <c r="A1733" s="3" t="inlineStr">
        <is>
          <t>FKK BORA BORA</t>
        </is>
      </c>
      <c r="B1733" s="2" t="inlineStr">
        <is>
          <t>FKKF 01   FKKI 03</t>
        </is>
      </c>
      <c r="C1733" s="1" t="n">
        <v>401.9</v>
      </c>
      <c r="D1733" s="7" t="n">
        <f>HYPERLINK("https://www.somogyi.sk/product/fkkf-01-fkki-03-fkk-bora-bora-17831","https://www.somogyi.sk/product/fkkf-01-fkki-03-fkk-bora-bora-17831")</f>
        <v>0.0</v>
      </c>
      <c r="E1733" s="7" t="n">
        <f>HYPERLINK("https://www.somogyi.sk/data/img/product_main_images/small/17831.jpg","https://www.somogyi.sk/data/img/product_main_images/small/17831.jpg")</f>
        <v>0.0</v>
      </c>
      <c r="F1733" s="2" t="inlineStr">
        <is>
          <t>5999084958534</t>
        </is>
      </c>
      <c r="G1733" s="4" t="inlineStr">
        <is>
          <t xml:space="preserve"> • umiestnenie: stojanový 
 • diaľkový ovládač: áno 
 • stupne teploty: 1000 W / 2000 W 
 • ventilátor: áno (predný výfukový bod) 
 • stupne svetelných efektov: 5 stupní 
 • zdroj svetla: LED 
 • samostatne zapnuteľný plameňový efekt: áno 
 • programovateľné: týždenný program / detekcia otvorenia okna 
 • termostat: áno (elektronický termostat) 
 • N/A: 15 °C - 30 °C 
 • materiál: ohrievač: kov / rám: laminovaná drevotrieska 
 • N/A: 30 m² 
 • hlučnosť: 50 dB(A) 
 • vhodný aj do kúpeľne: nie 
 • dĺžka napájacieho kábla: 1,5 m 
 • napájanie: 230 V~ / 50 Hz 
 • napájanie diaľkového ovládača: 2 x AAA batéria (nie je príslušenstvom) 
 • rozmery: 95 x 80 x 26,5 cm 
 • ďalšie informácie: obsah balíka: FKKF 01   FKKI 03</t>
        </is>
      </c>
    </row>
    <row r="1734">
      <c r="A1734" s="3" t="inlineStr">
        <is>
          <t>FKKF 04</t>
        </is>
      </c>
      <c r="B1734" s="2" t="inlineStr">
        <is>
          <t>PALERMO freya dub moderný rám pre krbovú vložku</t>
        </is>
      </c>
      <c r="C1734" s="1" t="n">
        <v>271.9</v>
      </c>
      <c r="D1734" s="7" t="n">
        <f>HYPERLINK("https://www.somogyi.sk/product/palermo-freya-dub-moderny-ram-pre-krbovu-vlozku-fkkf-04-17869","https://www.somogyi.sk/product/palermo-freya-dub-moderny-ram-pre-krbovu-vlozku-fkkf-04-17869")</f>
        <v>0.0</v>
      </c>
      <c r="E1734" s="7" t="n">
        <f>HYPERLINK("https://www.somogyi.sk/data/img/product_main_images/small/17869.jpg","https://www.somogyi.sk/data/img/product_main_images/small/17869.jpg")</f>
        <v>0.0</v>
      </c>
      <c r="F1734" s="2" t="inlineStr">
        <is>
          <t>5999084958916</t>
        </is>
      </c>
      <c r="G1734" s="4" t="inlineStr">
        <is>
          <t xml:space="preserve"> • materiál: laminované drevotrieska 
 • rozmery: 92,5 x 76 x 25 cm 
 • ďalšie informácie: možno použiť so zabudovateľným elektrickým krbom HOME FKKI 03 • zabudovateľný elektrický krb nie je súčasťou balenia</t>
        </is>
      </c>
    </row>
    <row r="1735">
      <c r="A1735" s="3" t="inlineStr">
        <is>
          <t>FKKI 05</t>
        </is>
      </c>
      <c r="B1735" s="2" t="inlineStr">
        <is>
          <t>Zabudovateľný krb</t>
        </is>
      </c>
      <c r="C1735" s="1" t="n">
        <v>268.9</v>
      </c>
      <c r="D1735" s="7" t="n">
        <f>HYPERLINK("https://www.somogyi.sk/product/zabudovatelny-krb-fkki-05-17783","https://www.somogyi.sk/product/zabudovatelny-krb-fkki-05-17783")</f>
        <v>0.0</v>
      </c>
      <c r="E1735" s="7" t="n">
        <f>HYPERLINK("https://www.somogyi.sk/data/img/product_main_images/small/17783.jpg","https://www.somogyi.sk/data/img/product_main_images/small/17783.jpg")</f>
        <v>0.0</v>
      </c>
      <c r="F1735" s="2" t="inlineStr">
        <is>
          <t>5999084958053</t>
        </is>
      </c>
      <c r="G1735" s="4" t="inlineStr">
        <is>
          <t xml:space="preserve"> • umiestnenie: môže byť zabudovaný alebo nástenný 
 • diaľkový ovládač: áno 
 • stupne teploty: 1000 W / 2000 W 
 • ventilátor: áno 
 • zdroj svetla: zabudovaný LED zdroj svetla (max 13 W, nedá sa vymeniť) 
 • programovateľné: áno 
 • termostat: elektronický termostat 
 • materiál: kov / sklo 
 • N/A: 30 m² 
 • hlučnosť: 50 dB(A) 
 • vhodný aj do kúpeľne: nie 
 • dĺžka napájacieho kábla: 1,5 m 
 • napájanie: 230 V~ / 50 Hz 
 • napájanie diaľkového ovládača: 2 x AAA batéria (nie je príslušenstvom) 
 • rozmery: 91,5 x 45 x 17 cm 
 • montážne rozmery: 82 x 43 cm 
 • hmotnosť: 16 kg</t>
        </is>
      </c>
    </row>
    <row r="1736">
      <c r="A1736" s="3" t="inlineStr">
        <is>
          <t>FKKF05</t>
        </is>
      </c>
      <c r="B1736" s="2" t="inlineStr">
        <is>
          <t>BALI biely rohový rám krbu na krbové vložky</t>
        </is>
      </c>
      <c r="C1736" s="1" t="n">
        <v>239.9</v>
      </c>
      <c r="D1736" s="7" t="n">
        <f>HYPERLINK("https://www.somogyi.sk/product/bali-biely-rohovy-ram-krbu-na-krbove-vlozky-fkkf05-18857","https://www.somogyi.sk/product/bali-biely-rohovy-ram-krbu-na-krbove-vlozky-fkkf05-18857")</f>
        <v>0.0</v>
      </c>
      <c r="E1736" s="7" t="n">
        <f>HYPERLINK("https://www.somogyi.sk/data/img/product_main_images/small/18857.jpg","https://www.somogyi.sk/data/img/product_main_images/small/18857.jpg")</f>
        <v>0.0</v>
      </c>
      <c r="F1736" s="2" t="inlineStr">
        <is>
          <t>5999084968632</t>
        </is>
      </c>
      <c r="G1736" s="4" t="inlineStr">
        <is>
          <t xml:space="preserve"> • farba: biela farba 
 • materiál: laminované drevotrieska 
 • rozmery: 95 x 80 x 54 cm 
 • ďalšie informácie: možno použiť so zabudovateľným elektrickým krbom HOME FKKI 03 • zabudovateľný elektrický krb nie je súčasťou balenia</t>
        </is>
      </c>
    </row>
    <row r="1737">
      <c r="A1737" s="6" t="inlineStr">
        <is>
          <t xml:space="preserve">   Vykurovanie, Odvlhčovanie / Keramický ohrievač</t>
        </is>
      </c>
      <c r="B1737" s="6" t="inlineStr">
        <is>
          <t/>
        </is>
      </c>
      <c r="C1737" s="6" t="inlineStr">
        <is>
          <t/>
        </is>
      </c>
      <c r="D1737" s="6" t="inlineStr">
        <is>
          <t/>
        </is>
      </c>
      <c r="E1737" s="6" t="inlineStr">
        <is>
          <t/>
        </is>
      </c>
      <c r="F1737" s="6" t="inlineStr">
        <is>
          <t/>
        </is>
      </c>
      <c r="G1737" s="6" t="inlineStr">
        <is>
          <t/>
        </is>
      </c>
    </row>
    <row r="1738">
      <c r="A1738" s="3" t="inlineStr">
        <is>
          <t>FK 51</t>
        </is>
      </c>
      <c r="B1738" s="2" t="inlineStr">
        <is>
          <t>Keramický ohrievač</t>
        </is>
      </c>
      <c r="C1738" s="1" t="n">
        <v>33.59</v>
      </c>
      <c r="D1738" s="7" t="n">
        <f>HYPERLINK("https://www.somogyi.sk/product/keramicky-ohrievac-fk-51-16934","https://www.somogyi.sk/product/keramicky-ohrievac-fk-51-16934")</f>
        <v>0.0</v>
      </c>
      <c r="E1738" s="7" t="n">
        <f>HYPERLINK("https://www.somogyi.sk/data/img/product_main_images/small/16934.jpg","https://www.somogyi.sk/data/img/product_main_images/small/16934.jpg")</f>
        <v>0.0</v>
      </c>
      <c r="F1738" s="2" t="inlineStr">
        <is>
          <t>5999084949662</t>
        </is>
      </c>
      <c r="G1738" s="4" t="inlineStr">
        <is>
          <t xml:space="preserve"> • umiestnenie: stojanový 
 • farba: biela 
 • diaľkový ovládač: nie 
 • stupne teploty: 2 stupne ohrievania: 1000 / 1500 W 
 • časovač: nie 
 • len režim ventilátora: áno 
 • ionizátor: nie 
 • ochrana proti prehriatiu: áno 
 • automatické vypnutie v prípade prevrhnutia: áno 
 • termostat: áno 
 • oscilácia: 70° 
 • N/A: 23 m² 
 • vhodný aj do kúpeľne: nie 
 • hlučnosť: 50 dB(A) 
 • dĺžka napájacieho kábla: 1,3 m 
 • napájanie: 230 V~  / 50 Hz 
 • rozmery: 15 x 24 x 9 cm 
 • hmotnosť: 2,5 kg</t>
        </is>
      </c>
    </row>
    <row r="1739">
      <c r="A1739" s="3" t="inlineStr">
        <is>
          <t>FKF 54203</t>
        </is>
      </c>
      <c r="B1739" s="2" t="inlineStr">
        <is>
          <t>Smart nástenný PTC ohrievač</t>
        </is>
      </c>
      <c r="C1739" s="1" t="n">
        <v>93.49</v>
      </c>
      <c r="D1739" s="7" t="n">
        <f>HYPERLINK("https://www.somogyi.sk/product/smart-nastenny-ptc-ohrievac-fkf-54203-17765","https://www.somogyi.sk/product/smart-nastenny-ptc-ohrievac-fkf-54203-17765")</f>
        <v>0.0</v>
      </c>
      <c r="E1739" s="7" t="n">
        <f>HYPERLINK("https://www.somogyi.sk/data/img/product_main_images/small/17765.jpg","https://www.somogyi.sk/data/img/product_main_images/small/17765.jpg")</f>
        <v>0.0</v>
      </c>
      <c r="F1739" s="2" t="inlineStr">
        <is>
          <t>5999084957872</t>
        </is>
      </c>
      <c r="G1739" s="4" t="inlineStr">
        <is>
          <t xml:space="preserve"> • umiestnenie: nástenný 
 • farba: biela 
 • stupne teploty: 1000 W / 2000 W 
 • programovateľné: týždenný program / detekcia otvorenia okna 
 • časovač: 24 h časovač za- a vypnutia 
 • len režim ventilátora: áno 
 • pohyb lamiel: áno 
 • ochrana proti prehriatiu: áno 
 • termostat: áno 
 • N/A: 10 °C - 49 °C 
 • N/A: 30 m² 
 • vhodný aj do kúpeľne: nie (IP20: nechránené proti prenikaniu vody!) 
 • hlučnosť: 56 dB(A) 
 • dĺžka napájacieho kábla: ~ 1,5 m 
 • napájanie: 230 V~ / 50 Hz 
 • napájanie diaľkového ovládača: CR 2025 gombíková batéria (je príslušenstvom) 
 • rozmery: 54 x 18,5 x 12 cm 
 • hmotnosť: 2,4 kg 
 • ďalšie informácie: skytý displej</t>
        </is>
      </c>
    </row>
    <row r="1740">
      <c r="A1740" s="3" t="inlineStr">
        <is>
          <t>FKF42202WIFI</t>
        </is>
      </c>
      <c r="B1740" s="2" t="inlineStr">
        <is>
          <t>Smart nástenný PTC ohrievač</t>
        </is>
      </c>
      <c r="C1740" s="1" t="n">
        <v>56.59</v>
      </c>
      <c r="D1740" s="7" t="n">
        <f>HYPERLINK("https://www.somogyi.sk/product/smart-nastenny-ptc-ohrievac-fkf42202wifi-18475","https://www.somogyi.sk/product/smart-nastenny-ptc-ohrievac-fkf42202wifi-18475")</f>
        <v>0.0</v>
      </c>
      <c r="E1740" s="7" t="n">
        <f>HYPERLINK("https://www.somogyi.sk/data/img/product_main_images/small/18475.jpg","https://www.somogyi.sk/data/img/product_main_images/small/18475.jpg")</f>
        <v>0.0</v>
      </c>
      <c r="F1740" s="2" t="inlineStr">
        <is>
          <t>5999084964931</t>
        </is>
      </c>
      <c r="G1740" s="4" t="inlineStr">
        <is>
          <t xml:space="preserve"> • umiestnenie: nástenný 
 • farba: biela farba 
 • wifi: áno (2,4 GHz (2,401 – 2,483 GHz) &lt;1 mW) 
 • diaľkový ovládač: áno 
 • stupne teploty: 1000 W / 2000 W 
 • časovač vypnutia: 8 h časovač vypnutia (1 h jednotky) 
 • len režim ventilátora: áno 
 • pohyb lamiel: nie 
 • ochrana proti prehriatiu: áno 
 • termostat: elektronický 
 • N/A: 18 – 45 °C 
 • N/A: 30 m² 
 • vhodný aj do kúpeľne: nie 
 • hlučnosť: 60 dB(A) 
 • IP stupeň ochrany: IP 20 
 • napájanie: 220-240 V~ 50 Hz 
 • napájanie diaľkového ovládača: 1 x CR2025 gombíková batéria, je príslušenstvom 
 • rozmery: 42,8 x 17,5 x 11,6 cm 
 • hmotnosť: 2 kg 
 • príslušenstvo: skrutky, hmoždinky na upevnenie na stenu</t>
        </is>
      </c>
    </row>
    <row r="1741">
      <c r="A1741" s="3" t="inlineStr">
        <is>
          <t>FK 52</t>
        </is>
      </c>
      <c r="B1741" s="2" t="inlineStr">
        <is>
          <t>Stojanový keramický ohrievač</t>
        </is>
      </c>
      <c r="C1741" s="1" t="n">
        <v>68.19</v>
      </c>
      <c r="D1741" s="7" t="n">
        <f>HYPERLINK("https://www.somogyi.sk/product/stojanovy-keramicky-ohrievac-fk-52-17336","https://www.somogyi.sk/product/stojanovy-keramicky-ohrievac-fk-52-17336")</f>
        <v>0.0</v>
      </c>
      <c r="E1741" s="7" t="n">
        <f>HYPERLINK("https://www.somogyi.sk/data/img/product_main_images/small/17336.jpg","https://www.somogyi.sk/data/img/product_main_images/small/17336.jpg")</f>
        <v>0.0</v>
      </c>
      <c r="F1741" s="2" t="inlineStr">
        <is>
          <t>5999084953584</t>
        </is>
      </c>
      <c r="G1741" s="4" t="inlineStr">
        <is>
          <t xml:space="preserve"> • umiestnenie: stojanový 
 • farba: biela 
 • stupne teploty: 1000 W / 2000 W 
 • časovač vypnutia: 15 h časovač vypnutia 
 • len režim ventilátora: áno 
 • ochrana proti prehriatiu: áno 
 • automatické vypnutie v prípade prevrhnutia: áno 
 • termostat: áno 
 • oscilácia: 70° 
 • N/A: 18-21-24-27 °C nastaviteľné hodnoty termostatu 
 • N/A: 30 m² 
 • vhodný aj do kúpeľne: nie 
 • hlučnosť: 55 dB(A) 
 • dĺžka napájacieho kábla: 1,3 m 
 • napájanie: 230 V~ / 50 Hz 
 • rozmery: 23 x 64 x 23 cm 
 • hmotnosť: 2,5 kg 
 • ďalšie informácie: IP ochrana IP20: žiadna ochrana pred vodou! (len na vnútorné použitie)</t>
        </is>
      </c>
    </row>
    <row r="1742">
      <c r="A1742" s="3" t="inlineStr">
        <is>
          <t>FKF 42201</t>
        </is>
      </c>
      <c r="B1742" s="2" t="inlineStr">
        <is>
          <t>Nástenný ventilátorový ohrievač</t>
        </is>
      </c>
      <c r="C1742" s="1" t="n">
        <v>55.99</v>
      </c>
      <c r="D1742" s="7" t="n">
        <f>HYPERLINK("https://www.somogyi.sk/product/nastenny-ventilatorovy-ohrievac-fkf-42201-16448","https://www.somogyi.sk/product/nastenny-ventilatorovy-ohrievac-fkf-42201-16448")</f>
        <v>0.0</v>
      </c>
      <c r="E1742" s="7" t="n">
        <f>HYPERLINK("https://www.somogyi.sk/data/img/product_main_images/small/16448.jpg","https://www.somogyi.sk/data/img/product_main_images/small/16448.jpg")</f>
        <v>0.0</v>
      </c>
      <c r="F1742" s="2" t="inlineStr">
        <is>
          <t>5999084944803</t>
        </is>
      </c>
      <c r="G1742" s="4" t="inlineStr">
        <is>
          <t xml:space="preserve"> • umiestnenie: nástenný 
 • diaľkový ovládač: áno 
 • stupne teploty: 1000 W / 2000 W 
 • programovateľné: týždenný program / senzor otvorenia okna 
 • časovač vypnutia: 8 h 
 • len režim ventilátora: áno 
 • pohyb lamiel: nie 
 • termostat: áno 
 • N/A: 18 – 45 °C 
 • N/A: 30 m² 
 • vhodný aj do kúpeľne: nie 
 • hlučnosť: 60 dB(A) 
 • dĺžka napájacieho kábla: 1,55 m 
 • napájanie: 230 V~ / 50 Hz 
 • rozmery: 42 x 16,5 x 11,5 cm 
 • hmotnosť: 1,8 kg</t>
        </is>
      </c>
    </row>
    <row r="1743">
      <c r="A1743" s="3" t="inlineStr">
        <is>
          <t>ST-22-240-E</t>
        </is>
      </c>
      <c r="B1743" s="2" t="inlineStr">
        <is>
          <t>STANLEY PTC ohrievač</t>
        </is>
      </c>
      <c r="C1743" s="1" t="n">
        <v>50.89</v>
      </c>
      <c r="D1743" s="7" t="n">
        <f>HYPERLINK("https://www.somogyi.sk/product/stanley-ptc-ohrievac-st-22-240-e-17043","https://www.somogyi.sk/product/stanley-ptc-ohrievac-st-22-240-e-17043")</f>
        <v>0.0</v>
      </c>
      <c r="E1743" s="7" t="n">
        <f>HYPERLINK("https://www.somogyi.sk/data/img/product_main_images/small/17043.jpg","https://www.somogyi.sk/data/img/product_main_images/small/17043.jpg")</f>
        <v>0.0</v>
      </c>
      <c r="F1743" s="2" t="inlineStr">
        <is>
          <t>0657888162216</t>
        </is>
      </c>
      <c r="G1743" s="4" t="inlineStr">
        <is>
          <t xml:space="preserve"> • umiestnenie: stojanový 
 • stupne teploty: 1000 W / 2000 W 
 • len režim ventilátora: áno 
 • ochrana proti prehriatiu: áno 
 • termostat: mechanický 
 • N/A: 30 m² 
 • napájanie: 230 V ~/ 50 Hz 
 • rozmery: 20 x 29 x 27,5 cm 
 • ďalšie informácie: kovový kryt, PTC vykurovacie teleso</t>
        </is>
      </c>
    </row>
    <row r="1744">
      <c r="A1744" s="3" t="inlineStr">
        <is>
          <t>FKH 400</t>
        </is>
      </c>
      <c r="B1744" s="2" t="inlineStr">
        <is>
          <t>Prenosný keramický ohrievač</t>
        </is>
      </c>
      <c r="C1744" s="1" t="n">
        <v>23.49</v>
      </c>
      <c r="D1744" s="7" t="n">
        <f>HYPERLINK("https://www.somogyi.sk/product/prenosny-keramicky-ohrievac-fkh-400-16935","https://www.somogyi.sk/product/prenosny-keramicky-ohrievac-fkh-400-16935")</f>
        <v>0.0</v>
      </c>
      <c r="E1744" s="7" t="n">
        <f>HYPERLINK("https://www.somogyi.sk/data/img/product_main_images/small/16935.jpg","https://www.somogyi.sk/data/img/product_main_images/small/16935.jpg")</f>
        <v>0.0</v>
      </c>
      <c r="F1744" s="2" t="inlineStr">
        <is>
          <t>5999084949679</t>
        </is>
      </c>
      <c r="G1744" s="4" t="inlineStr">
        <is>
          <t xml:space="preserve"> • stupne teploty: 400 W 
 • časovač vypnutia: 12 h 
 • len režim ventilátora: áno 
 • ochrana proti prehriatiu: áno 
 • termostat: elektronický 
 • N/A: 15 °C - 45 °C 
 • N/A: 6 m² 
 • vhodný aj do kúpeľne: nie 
 • hlučnosť: 56 db(A) 
 • napájanie: 230 V~  / 50 Hz 
 • rozmery: 9 x 17 x 8,5 cm 
 • ďalšie informácie: keramické vyhrievacie teleso</t>
        </is>
      </c>
    </row>
    <row r="1745">
      <c r="A1745" s="3" t="inlineStr">
        <is>
          <t>FK 53 WIFI</t>
        </is>
      </c>
      <c r="B1745" s="2" t="inlineStr">
        <is>
          <t>Smart stojanový keramický ohrievač</t>
        </is>
      </c>
      <c r="C1745" s="1" t="n">
        <v>94.69</v>
      </c>
      <c r="D1745" s="7" t="n">
        <f>HYPERLINK("https://www.somogyi.sk/product/smart-stojanovy-keramicky-ohrievac-fk-53-wifi-17337","https://www.somogyi.sk/product/smart-stojanovy-keramicky-ohrievac-fk-53-wifi-17337")</f>
        <v>0.0</v>
      </c>
      <c r="E1745" s="7" t="n">
        <f>HYPERLINK("https://www.somogyi.sk/data/img/product_main_images/small/17337.jpg","https://www.somogyi.sk/data/img/product_main_images/small/17337.jpg")</f>
        <v>0.0</v>
      </c>
      <c r="F1745" s="2" t="inlineStr">
        <is>
          <t>5999084953591</t>
        </is>
      </c>
      <c r="G1745" s="4" t="inlineStr">
        <is>
          <t xml:space="preserve"> • umiestnenie: stojanový 
 • diaľkový ovládač: áno 
 • stupne teploty: 1000 W / 2000 W 
 • časovač vypnutia: 12 h časovač vypnutia 
 • ochrana proti prehriatiu: áno 
 • automatické vypnutie v prípade prevrhnutia: áno 
 • termostat: 15-45 °C 
 • oscilácia: áno 
 • N/A: 15-45 °C 
 • N/A: 30 m² 
 • vhodný aj do kúpeľne: nie 
 • hlučnosť: 60 dB(A) 
 • dĺžka napájacieho kábla: 1,4 m 
 • napájanie: 230 V~ / 50 Hz 
 • rozmery: 23 x 56 x 15 cm 
 • hmotnosť: 2 kg 
 • ďalšie informácie: IP ochrana IP20: žiadna ochrana pred vodou! (len na vnútorné použitie) / frekvencia prenosu WIFI: 2,4 GHz</t>
        </is>
      </c>
    </row>
    <row r="1746">
      <c r="A1746" s="3" t="inlineStr">
        <is>
          <t>FKF 56202</t>
        </is>
      </c>
      <c r="B1746" s="2" t="inlineStr">
        <is>
          <t>Nástenný ventilátorový ohrievač</t>
        </is>
      </c>
      <c r="C1746" s="1" t="n">
        <v>70.29</v>
      </c>
      <c r="D1746" s="7" t="n">
        <f>HYPERLINK("https://www.somogyi.sk/product/nastenny-ventilatorovy-ohrievac-fkf-56202-16447","https://www.somogyi.sk/product/nastenny-ventilatorovy-ohrievac-fkf-56202-16447")</f>
        <v>0.0</v>
      </c>
      <c r="E1746" s="7" t="n">
        <f>HYPERLINK("https://www.somogyi.sk/data/img/product_main_images/small/16447.jpg","https://www.somogyi.sk/data/img/product_main_images/small/16447.jpg")</f>
        <v>0.0</v>
      </c>
      <c r="F1746" s="2" t="inlineStr">
        <is>
          <t>5999084944797</t>
        </is>
      </c>
      <c r="G1746" s="4" t="inlineStr">
        <is>
          <t xml:space="preserve"> • umiestnenie: nástenný 
 • diaľkový ovládač: áno 
 • stupne teploty: 1000 W / 2000 W 
 • programovateľné: týždenný program / senzor otvorenia okna 
 • časovač vypnutia: 8 h 
 • len režim ventilátora: áno 
 • pohyb lamiel: áno 
 • termostat: áno 
 • N/A: 18 – 45 °C 
 • N/A: 30 m² 
 • vhodný aj do kúpeľne: nie 
 • hlučnosť: 55 dB(A) 
 • dĺžka napájacieho kábla: 1,55 m 
 • napájanie: 230 V~ / 50 Hz 
 • rozmery: 58,5 x 19,5 x 13 c 
 • hmotnosť: 3,1 kg</t>
        </is>
      </c>
    </row>
    <row r="1747">
      <c r="A1747" s="3" t="inlineStr">
        <is>
          <t>FK 29</t>
        </is>
      </c>
      <c r="B1747" s="2" t="inlineStr">
        <is>
          <t>Keramický ohrievač</t>
        </is>
      </c>
      <c r="C1747" s="1" t="n">
        <v>49.69</v>
      </c>
      <c r="D1747" s="7" t="n">
        <f>HYPERLINK("https://www.somogyi.sk/product/keramicky-ohrievac-fk-29-15425","https://www.somogyi.sk/product/keramicky-ohrievac-fk-29-15425")</f>
        <v>0.0</v>
      </c>
      <c r="E1747" s="7" t="n">
        <f>HYPERLINK("https://www.somogyi.sk/data/img/product_main_images/small/15425.jpg","https://www.somogyi.sk/data/img/product_main_images/small/15425.jpg")</f>
        <v>0.0</v>
      </c>
      <c r="F1747" s="2" t="inlineStr">
        <is>
          <t>5999084934590</t>
        </is>
      </c>
      <c r="G1747" s="4" t="inlineStr">
        <is>
          <t xml:space="preserve"> • umiestnenie: stojanový 
 • farba: čierna 
 • stupne teploty: 900 W / 1800 W 
 • len režim ventilátora: áno 
 • ochrana proti prehriatiu: áno 
 • automatické vypnutie v prípade prevrhnutia: áno 
 • termostat: áno 
 • oscilácia: 70° 
 • N/A: 27 m² 
 • vhodný aj do kúpeľne: nie 
 • hlučnosť: 50 dB(A) 
 • dĺžka napájacieho kábla: 1,45 m 
 • napájanie: 230 V~ / 50 Hz 
 • rozmery: 22 x 32 x 14,5 cm 
 • ďalšie informácie: Výrobok je určený výlučne na vykurovanie dobre izolovaných miestností alebo na príležitostné používanie!</t>
        </is>
      </c>
    </row>
    <row r="1748">
      <c r="A1748" s="3" t="inlineStr">
        <is>
          <t>FKH 401</t>
        </is>
      </c>
      <c r="B1748" s="2" t="inlineStr">
        <is>
          <t>Prenosný keramický ohrievač a plameňovým efektom</t>
        </is>
      </c>
      <c r="C1748" s="1" t="n">
        <v>31.99</v>
      </c>
      <c r="D1748" s="7" t="n">
        <f>HYPERLINK("https://www.somogyi.sk/product/prenosny-keramicky-ohrievac-a-plamenovym-efektom-fkh-401-17338","https://www.somogyi.sk/product/prenosny-keramicky-ohrievac-a-plamenovym-efektom-fkh-401-17338")</f>
        <v>0.0</v>
      </c>
      <c r="E1748" s="7" t="n">
        <f>HYPERLINK("https://www.somogyi.sk/data/img/product_main_images/small/17338.jpg","https://www.somogyi.sk/data/img/product_main_images/small/17338.jpg")</f>
        <v>0.0</v>
      </c>
      <c r="F1748" s="2" t="inlineStr">
        <is>
          <t>5999084953607</t>
        </is>
      </c>
      <c r="G1748" s="4" t="inlineStr">
        <is>
          <t xml:space="preserve"> • stupne teploty: 400 V 
 • časovač vypnutia: 12 h 
 • len režim ventilátora: áno 
 • ochrana proti prehriatiu: áno 
 • termostat: elektronický 
 • N/A: 15 °C - 45 °C 
 • N/A: 6 m² 
 • vhodný aj do kúpeľne: nie 
 • hlučnosť: 58 dB(A) 
 • napájanie: 230 V~ / 50 Hz 
 • rozmery: 9,5 x 18,5 x 7 cm</t>
        </is>
      </c>
    </row>
    <row r="1749">
      <c r="A1749" s="3" t="inlineStr">
        <is>
          <t>FKF 65221</t>
        </is>
      </c>
      <c r="B1749" s="2" t="inlineStr">
        <is>
          <t>Nástenný ventilátorový ohrievač</t>
        </is>
      </c>
      <c r="C1749" s="1" t="n">
        <v>90.09</v>
      </c>
      <c r="D1749" s="7" t="n">
        <f>HYPERLINK("https://www.somogyi.sk/product/nastenny-ventilatorovy-ohrievac-fkf-65221-16446","https://www.somogyi.sk/product/nastenny-ventilatorovy-ohrievac-fkf-65221-16446")</f>
        <v>0.0</v>
      </c>
      <c r="E1749" s="7" t="n">
        <f>HYPERLINK("https://www.somogyi.sk/data/img/product_main_images/small/16446.jpg","https://www.somogyi.sk/data/img/product_main_images/small/16446.jpg")</f>
        <v>0.0</v>
      </c>
      <c r="F1749" s="2" t="inlineStr">
        <is>
          <t>5999084944780</t>
        </is>
      </c>
      <c r="G1749" s="4" t="inlineStr">
        <is>
          <t xml:space="preserve"> • umiestnenie: nástenný 
 • diaľkový ovládač: áno 
 • stupne teploty: 1100 W / 2200 W 
 • programovateľné: týždenný program / senzor otvorenia okna 
 • časovač vypnutia: 8 h 
 • len režim ventilátora: áno 
 • pohyb lamiel: áno 
 • termostat: áno 
 • N/A: 18 – 45 °C 
 • N/A: 33 m² 
 • vhodný aj do kúpeľne: nie 
 • hlučnosť: 60 dB(A) 
 • dĺžka napájacieho kábla: 1,5 m 
 • napájanie: 230 V~ / 50 Hz 
 • rozmery: 65 x 25 x 15 cm 
 • hmotnosť: 4,2 kg</t>
        </is>
      </c>
    </row>
    <row r="1750">
      <c r="A1750" s="3" t="inlineStr">
        <is>
          <t>FK 30</t>
        </is>
      </c>
      <c r="B1750" s="2" t="inlineStr">
        <is>
          <t>Prenosný ventilátorový ohrievač</t>
        </is>
      </c>
      <c r="C1750" s="1" t="n">
        <v>39.99</v>
      </c>
      <c r="D1750" s="7" t="n">
        <f>HYPERLINK("https://www.somogyi.sk/product/prenosny-ventilatorovy-ohrievac-fk-30-13569","https://www.somogyi.sk/product/prenosny-ventilatorovy-ohrievac-fk-30-13569")</f>
        <v>0.0</v>
      </c>
      <c r="E1750" s="7" t="n">
        <f>HYPERLINK("https://www.somogyi.sk/data/img/product_main_images/small/13569.jpg","https://www.somogyi.sk/data/img/product_main_images/small/13569.jpg")</f>
        <v>0.0</v>
      </c>
      <c r="F1750" s="2" t="inlineStr">
        <is>
          <t>5999084916213</t>
        </is>
      </c>
      <c r="G1750" s="4" t="inlineStr">
        <is>
          <t xml:space="preserve"> • umiestnenie: voľne stojací 
 • farba: čierno - žltá 
 • stupne teploty: 1000 W / 2000 W 
 • len režim ventilátora: nie 
 •  
 • ochrana proti prehriatiu: áno 
 • automatické vypnutie v prípade prevrhnutia: nie 
 • termostat: áno 
 • N/A: 30 m² 
 • vhodný aj do kúpeľne: nie 
 • hlučnosť: 55 dB(A) 
 • dĺžka napájacieho kábla: 1,2 m 
 • napájanie: 230 V~  / 50 Hz 
 • rozmery: 17,5 x 20 x 18 cm 
 • hmotnosť: 3,4 kg 
 • ďalšie informácie: Výrobok je určený výlučne na vykurovanie dobre izolovaných miestností alebo na príležitostné používanie!</t>
        </is>
      </c>
    </row>
    <row r="1751">
      <c r="A1751" s="6" t="inlineStr">
        <is>
          <t xml:space="preserve">   Vykurovanie, Odvlhčovanie / Infražiarič, ohrievač, vyhrievacia vložka</t>
        </is>
      </c>
      <c r="B1751" s="6" t="inlineStr">
        <is>
          <t/>
        </is>
      </c>
      <c r="C1751" s="6" t="inlineStr">
        <is>
          <t/>
        </is>
      </c>
      <c r="D1751" s="6" t="inlineStr">
        <is>
          <t/>
        </is>
      </c>
      <c r="E1751" s="6" t="inlineStr">
        <is>
          <t/>
        </is>
      </c>
      <c r="F1751" s="6" t="inlineStr">
        <is>
          <t/>
        </is>
      </c>
      <c r="G1751" s="6" t="inlineStr">
        <is>
          <t/>
        </is>
      </c>
    </row>
    <row r="1752">
      <c r="A1752" s="3" t="inlineStr">
        <is>
          <t>FK 231/T</t>
        </is>
      </c>
      <c r="B1752" s="2" t="inlineStr">
        <is>
          <t>Vyhrievacia vložka do FK 23</t>
        </is>
      </c>
      <c r="C1752" s="1" t="n">
        <v>2.79</v>
      </c>
      <c r="D1752" s="7" t="n">
        <f>HYPERLINK("https://www.somogyi.sk/product/vyhrievacia-vlozka-do-fk-23-fk-231-t-18276","https://www.somogyi.sk/product/vyhrievacia-vlozka-do-fk-23-fk-231-t-18276")</f>
        <v>0.0</v>
      </c>
      <c r="E1752" s="7" t="n">
        <f>HYPERLINK("https://www.somogyi.sk/data/img/product_main_images/small/18276.jpg","https://www.somogyi.sk/data/img/product_main_images/small/18276.jpg")</f>
        <v>0.0</v>
      </c>
      <c r="F1752" s="2" t="inlineStr">
        <is>
          <t>5999084962982</t>
        </is>
      </c>
      <c r="G1752" s="4" t="inlineStr">
        <is>
          <t xml:space="preserve"> • stupne ohrievania / výkon: 400 W 
 • napájanie: 230 V~ / 50 Hz 
 • rozmery: 160 mm</t>
        </is>
      </c>
    </row>
    <row r="1753">
      <c r="A1753" s="3" t="inlineStr">
        <is>
          <t>FK 24</t>
        </is>
      </c>
      <c r="B1753" s="2" t="inlineStr">
        <is>
          <t>Quartzový ohrievač</t>
        </is>
      </c>
      <c r="C1753" s="1" t="n">
        <v>28.49</v>
      </c>
      <c r="D1753" s="7" t="n">
        <f>HYPERLINK("https://www.somogyi.sk/product/quartzovy-ohrievac-fk-24-13571","https://www.somogyi.sk/product/quartzovy-ohrievac-fk-24-13571")</f>
        <v>0.0</v>
      </c>
      <c r="E1753" s="7" t="n">
        <f>HYPERLINK("https://www.somogyi.sk/data/img/product_main_images/small/13571.jpg","https://www.somogyi.sk/data/img/product_main_images/small/13571.jpg")</f>
        <v>0.0</v>
      </c>
      <c r="F1753" s="2" t="inlineStr">
        <is>
          <t>5999084916237</t>
        </is>
      </c>
      <c r="G1753" s="4" t="inlineStr">
        <is>
          <t xml:space="preserve"> • stupne ohrievania / výkon: 600 W / 1200 W 
 • N/A: 18 m² 
 • vhodný aj do kúpeľne: áno 
 • IP stupeň ochrany: IPX4 
 • automatické vypnutie v prípade prevrhnutia: nie 
 • oscilácia: nie 
 • typ vyhrievacej vložky: FK 24/T 
 • dĺžka napájacieho kábla: 1,4 m 
 • napájanie: 230 V~  / 50 Hz 
 • rozmery: 53,5 x 13 x 11 cm 
 • hmotnosť: 1,2 kg 
 • poznámka: infražiarič</t>
        </is>
      </c>
    </row>
    <row r="1754">
      <c r="A1754" s="3" t="inlineStr">
        <is>
          <t>FK 24/T</t>
        </is>
      </c>
      <c r="B1754" s="2" t="inlineStr">
        <is>
          <t>Vyhrievacia vložka do FK 24, 600W</t>
        </is>
      </c>
      <c r="C1754" s="1" t="n">
        <v>3.49</v>
      </c>
      <c r="D1754" s="7" t="n">
        <f>HYPERLINK("https://www.somogyi.sk/product/vyhrievacia-vlozka-do-fk-24-600w-fk-24-t-13572","https://www.somogyi.sk/product/vyhrievacia-vlozka-do-fk-24-600w-fk-24-t-13572")</f>
        <v>0.0</v>
      </c>
      <c r="E1754" s="7" t="n">
        <f>HYPERLINK("https://www.somogyi.sk/data/img/product_main_images/small/13572.jpg","https://www.somogyi.sk/data/img/product_main_images/small/13572.jpg")</f>
        <v>0.0</v>
      </c>
      <c r="F1754" s="2" t="inlineStr">
        <is>
          <t>5999084916244</t>
        </is>
      </c>
      <c r="G1754" s="4" t="inlineStr">
        <is>
          <t xml:space="preserve"> • stupne ohrievania / výkon: 600 W 
 • IP stupeň ochrany: IPX4 
 • automatické vypnutie v prípade prevrhnutia: nie 
 • oscilácia: nie 
 • napájanie: 230 V~ 
 • rozmery: 42 cm 
 • poznámka: k prístroju FK 24</t>
        </is>
      </c>
    </row>
    <row r="1755">
      <c r="A1755" s="3" t="inlineStr">
        <is>
          <t>FK 231</t>
        </is>
      </c>
      <c r="B1755" s="2" t="inlineStr">
        <is>
          <t>Halogénový ohrievač, stojanový, max. 1200 W</t>
        </is>
      </c>
      <c r="C1755" s="1" t="n">
        <v>33.99</v>
      </c>
      <c r="D1755" s="7" t="n">
        <f>HYPERLINK("https://www.somogyi.sk/product/halogenovy-ohrievac-stojanovy-max-1200-w-fk-231-18275","https://www.somogyi.sk/product/halogenovy-ohrievac-stojanovy-max-1200-w-fk-231-18275")</f>
        <v>0.0</v>
      </c>
      <c r="E1755" s="7" t="n">
        <f>HYPERLINK("https://www.somogyi.sk/data/img/product_main_images/small/18275.jpg","https://www.somogyi.sk/data/img/product_main_images/small/18275.jpg")</f>
        <v>0.0</v>
      </c>
      <c r="F1755" s="2" t="inlineStr">
        <is>
          <t>5999084962975</t>
        </is>
      </c>
      <c r="G1755" s="4" t="inlineStr">
        <is>
          <t xml:space="preserve"> • umiestnenie: stojanový 
 • stupne ohrievania / výkon: 400 W / 800 W / 1200 W 
 • N/A: 18 m² 
 • vhodný aj do kúpeľne: nie 
 • IP stupeň ochrany: IP20 
 • automatické vypnutie v prípade prevrhnutia: áno 
 • oscilácia: áno 
 • typ vyhrievacej vložky: FK 231/T (160 mm, 400 W) 
 • napájanie: 230 V~ / 50 Hz 
 • rozmery: 30 x 70 x 30 cm 
 • hmotnosť: 1,9 kg</t>
        </is>
      </c>
    </row>
    <row r="1756">
      <c r="A1756" s="3" t="inlineStr">
        <is>
          <t>FK 272/T</t>
        </is>
      </c>
      <c r="B1756" s="2" t="inlineStr">
        <is>
          <t>Vyhrievacia vložka do FK 272</t>
        </is>
      </c>
      <c r="C1756" s="1" t="n">
        <v>3.49</v>
      </c>
      <c r="D1756" s="7" t="n">
        <f>HYPERLINK("https://www.somogyi.sk/product/vyhrievacia-vlozka-do-fk-272-fk-272-t-18012","https://www.somogyi.sk/product/vyhrievacia-vlozka-do-fk-272-fk-272-t-18012")</f>
        <v>0.0</v>
      </c>
      <c r="E1756" s="7" t="n">
        <f>HYPERLINK("https://www.somogyi.sk/data/img/product_main_images/small/18012.jpg","https://www.somogyi.sk/data/img/product_main_images/small/18012.jpg")</f>
        <v>0.0</v>
      </c>
      <c r="F1756" s="2" t="inlineStr">
        <is>
          <t>5999084960346</t>
        </is>
      </c>
      <c r="G1756" s="4" t="inlineStr">
        <is>
          <t xml:space="preserve"> • napájanie: 230 V~ / 50 Hz 
 • sila: 650 W 
 • veľkosť: 35 cm</t>
        </is>
      </c>
    </row>
    <row r="1757">
      <c r="A1757" s="3" t="inlineStr">
        <is>
          <t>FKTW 501</t>
        </is>
      </c>
      <c r="B1757" s="2" t="inlineStr">
        <is>
          <t>Elektrický sušiak uterákov, 500 W</t>
        </is>
      </c>
      <c r="C1757" s="1" t="n">
        <v>155.9</v>
      </c>
      <c r="D1757" s="7" t="n">
        <f>HYPERLINK("https://www.somogyi.sk/product/elektricky-susiak-uterakov-500-w-fktw-501-17361","https://www.somogyi.sk/product/elektricky-susiak-uterakov-500-w-fktw-501-17361")</f>
        <v>0.0</v>
      </c>
      <c r="E1757" s="7" t="n">
        <f>HYPERLINK("https://www.somogyi.sk/data/img/product_main_images/small/17361.jpg","https://www.somogyi.sk/data/img/product_main_images/small/17361.jpg")</f>
        <v>0.0</v>
      </c>
      <c r="F1757" s="2" t="inlineStr">
        <is>
          <t>5999084953836</t>
        </is>
      </c>
      <c r="G1757" s="4" t="inlineStr">
        <is>
          <t xml:space="preserve"> • termostat: elektronický termostat 
 • N/A: 5 °C - 29 °C 
 • N/A: 8 m² 
 • vhodný aj do kúpeľne: áno 
 • časovač: áno 
 • IP stupeň ochrany: IP24 
 • dĺžka napájacieho kábla: 1,5 m 
 • napájanie: 230 V~ / 50 Hz 
 • rozmery: 54 x 98 x 9,2 cm 
 • hmotnosť: 3,5 kg 
 • ďalšie informácie: senzor otvorenia okna / detská zámka 
 • displej: LCD 
 • stupne teploty: 500 W 
 • umiestnenie: nástenný 
 • funkcia ochrany pred mrazom (+5 °C): áno 
 • ochrana proti prehriatiu: áno</t>
        </is>
      </c>
    </row>
    <row r="1758">
      <c r="A1758" s="3" t="inlineStr">
        <is>
          <t>E216215</t>
        </is>
      </c>
      <c r="B1758" s="2" t="inlineStr">
        <is>
          <t>NOIROT, INOVA V 1500 BL</t>
        </is>
      </c>
      <c r="C1758" s="1" t="n">
        <v>397.9</v>
      </c>
      <c r="D1758" s="7" t="n">
        <f>HYPERLINK("https://www.somogyi.sk/product/noirot-inova-v-1500-bl-e216215-18959","https://www.somogyi.sk/product/noirot-inova-v-1500-bl-e216215-18959")</f>
        <v>0.0</v>
      </c>
      <c r="E1758" s="7" t="n">
        <f>HYPERLINK("https://www.somogyi.sk/data/img/product_main_images/small/18959.jpg","https://www.somogyi.sk/data/img/product_main_images/small/18959.jpg")</f>
        <v>0.0</v>
      </c>
      <c r="F1758" s="2" t="inlineStr">
        <is>
          <t>3465700056776</t>
        </is>
      </c>
      <c r="G1758" s="4" t="inlineStr">
        <is>
          <t xml:space="preserve"> • umiestnenie: nástenné prevedenie, vertikálne umiestnenie 
 • farba: biela 
 • stupne ohrievania / výkon: 1500 W 
 • programovateľné: týždenný program: 3 prednastavené programy a 3 programy šité na mieru 
 • N/A: 23 m² 
 • vhodný aj do kúpeľne: áno 
 • N/A: áno 
 • detská poistka: áno 
 • presnosť merania: presnosť 0,5 desatiny stupňa 
 • IP stupeň ochrany: IP24 
 • pamäť: 6-hodinová pamäť pre prípad výpadku prúdu 
 • za/vypínač: áno 
 • rozmery: 1057 x 440 x 124 mm 
 • hmotnosť: 10,9 kg 
 • ďalšie informácie: možnosť uzamknutia PIN kódom</t>
        </is>
      </c>
    </row>
    <row r="1759">
      <c r="A1759" s="3" t="inlineStr">
        <is>
          <t>FK 231</t>
        </is>
      </c>
      <c r="B1759" s="2" t="inlineStr">
        <is>
          <t>Halogénový ohrievač, stojanový, max. 1200 W</t>
        </is>
      </c>
      <c r="C1759" s="1" t="n">
        <v>35.49</v>
      </c>
      <c r="D1759" s="7" t="n">
        <f>HYPERLINK("https://www.somogyi.sk/product/halogenovy-ohrievac-stojanovy-max-1200-w-fk-231-18275","https://www.somogyi.sk/product/halogenovy-ohrievac-stojanovy-max-1200-w-fk-231-18275")</f>
        <v>0.0</v>
      </c>
      <c r="E1759" s="7" t="n">
        <f>HYPERLINK("https://www.somogyi.sk/data/img/product_main_images/small/18275.jpg","https://www.somogyi.sk/data/img/product_main_images/small/18275.jpg")</f>
        <v>0.0</v>
      </c>
      <c r="F1759" s="2" t="inlineStr">
        <is>
          <t>5999084962975</t>
        </is>
      </c>
      <c r="G1759" s="4" t="inlineStr">
        <is>
          <t xml:space="preserve"> • umiestnenie: stojanový 
 • stupne ohrievania / výkon: 400 W / 800 W / 1200 W 
 • N/A: 18 m² 
 • vhodný aj do kúpeľne: nie 
 • IP stupeň ochrany: IP20 
 • automatické vypnutie v prípade prevrhnutia: áno 
 • oscilácia: áno 
 • typ vyhrievacej vložky: FK 231/T (160 mm, 400 W) 
 • napájanie: 230 V~ / 50 Hz 
 • rozmery: 30 x 70 x 30 cm 
 • hmotnosť: 1,9 kg</t>
        </is>
      </c>
    </row>
    <row r="1760">
      <c r="A1760" s="3" t="inlineStr">
        <is>
          <t>FKT 22CM</t>
        </is>
      </c>
      <c r="B1760" s="2" t="inlineStr">
        <is>
          <t>Vyhrievacia vložka, 22cm, 400W</t>
        </is>
      </c>
      <c r="C1760" s="1" t="n">
        <v>3.39</v>
      </c>
      <c r="D1760" s="7" t="n">
        <f>HYPERLINK("https://www.somogyi.sk/product/vyhrievacia-vlozka-22cm-400w-fkt-22cm-9908","https://www.somogyi.sk/product/vyhrievacia-vlozka-22cm-400w-fkt-22cm-9908")</f>
        <v>0.0</v>
      </c>
      <c r="E1760" s="7" t="n">
        <f>HYPERLINK("https://www.somogyi.sk/data/img/product_main_images/small/09908.jpg","https://www.somogyi.sk/data/img/product_main_images/small/09908.jpg")</f>
        <v>0.0</v>
      </c>
      <c r="F1760" s="2" t="inlineStr">
        <is>
          <t>5998312786277</t>
        </is>
      </c>
      <c r="G1760" s="4" t="inlineStr">
        <is>
          <t xml:space="preserve"> • stupne ohrievania / výkon: 400 W 
 • IP stupeň ochrany: nie 
 • automatické vypnutie v prípade prevrhnutia: nie 
 • oscilácia: nie 
 • napájanie: 230 V~ 
 • rozmery: 22 cm 
 • poznámka: k prístrojom FK 5, FK 16</t>
        </is>
      </c>
    </row>
    <row r="1761">
      <c r="A1761" s="3" t="inlineStr">
        <is>
          <t>FK 23/T</t>
        </is>
      </c>
      <c r="B1761" s="2" t="inlineStr">
        <is>
          <t>Vyhrievacia vložka do FK 23</t>
        </is>
      </c>
      <c r="C1761" s="1" t="n">
        <v>3.19</v>
      </c>
      <c r="D1761" s="7" t="n">
        <f>HYPERLINK("https://www.somogyi.sk/product/vyhrievacia-vlozka-do-fk-23-fk-23-t-14906","https://www.somogyi.sk/product/vyhrievacia-vlozka-do-fk-23-fk-23-t-14906")</f>
        <v>0.0</v>
      </c>
      <c r="E1761" s="7" t="n">
        <f>HYPERLINK("https://www.somogyi.sk/data/img/product_main_images/small/14906.jpg","https://www.somogyi.sk/data/img/product_main_images/small/14906.jpg")</f>
        <v>0.0</v>
      </c>
      <c r="F1761" s="2" t="inlineStr">
        <is>
          <t>5999084929435</t>
        </is>
      </c>
      <c r="G1761" s="4" t="inlineStr">
        <is>
          <t xml:space="preserve"> • stupne ohrievania / výkon: 400 W 
 • IP stupeň ochrany: nie 
 • automatické vypnutie v prípade prevrhnutia: nie 
 • napájanie: 230 V~ 
 • rozmery: 16,3 cm 
 • poznámka: halogénová vložka, k zariadeniu FK 23</t>
        </is>
      </c>
    </row>
    <row r="1762">
      <c r="A1762" s="3" t="inlineStr">
        <is>
          <t>FK 21/T</t>
        </is>
      </c>
      <c r="B1762" s="2" t="inlineStr">
        <is>
          <t>Vyhrievacia vložka do FK 21</t>
        </is>
      </c>
      <c r="C1762" s="1" t="n">
        <v>3.19</v>
      </c>
      <c r="D1762" s="7" t="n">
        <f>HYPERLINK("https://www.somogyi.sk/product/vyhrievacia-vlozka-do-fk-21-fk-21-t-14907","https://www.somogyi.sk/product/vyhrievacia-vlozka-do-fk-21-fk-21-t-14907")</f>
        <v>0.0</v>
      </c>
      <c r="E1762" s="7" t="n">
        <f>HYPERLINK("https://www.somogyi.sk/data/img/product_main_images/small/14907.jpg","https://www.somogyi.sk/data/img/product_main_images/small/14907.jpg")</f>
        <v>0.0</v>
      </c>
      <c r="F1762" s="2" t="inlineStr">
        <is>
          <t>5999084929442</t>
        </is>
      </c>
      <c r="G1762" s="4" t="inlineStr">
        <is>
          <t xml:space="preserve"> • stupne ohrievania / výkon: 400 W 
 • IP stupeň ochrany: nie 
 • automatické vypnutie v prípade prevrhnutia: nie 
 • napájanie: 230 V~ 
 • rozmery: 19,5 cm 
 • poznámka: halogénová vložka, k zariadeniu FK 21</t>
        </is>
      </c>
    </row>
    <row r="1763">
      <c r="A1763" s="3" t="inlineStr">
        <is>
          <t>E216117</t>
        </is>
      </c>
      <c r="B1763" s="2" t="inlineStr">
        <is>
          <t>NOIROT, INOVA H 2000 BL</t>
        </is>
      </c>
      <c r="C1763" s="1" t="n">
        <v>275.9</v>
      </c>
      <c r="D1763" s="7" t="n">
        <f>HYPERLINK("https://www.somogyi.sk/product/noirot-inova-h-2000-bl-e216117-18958","https://www.somogyi.sk/product/noirot-inova-h-2000-bl-e216117-18958")</f>
        <v>0.0</v>
      </c>
      <c r="E1763" s="7" t="n">
        <f>HYPERLINK("https://www.somogyi.sk/data/img/product_main_images/small/18958.jpg","https://www.somogyi.sk/data/img/product_main_images/small/18958.jpg")</f>
        <v>0.0</v>
      </c>
      <c r="F1763" s="2" t="inlineStr">
        <is>
          <t>3465700056394</t>
        </is>
      </c>
      <c r="G1763" s="4" t="inlineStr">
        <is>
          <t xml:space="preserve"> • umiestnenie: nástenné, voľne stojace 
 • farba: biela 
 • stupne ohrievania / výkon: 2000 W 
 • termostat: elektronická (s LCD displejom) 
 • programovateľné: týždenný program: 3 prednastavené programy a 3 programy šité na mieru 
 • N/A: 30 m² 
 • vhodný aj do kúpeľne: áno 
 • N/A: áno 
 • detská poistka: áno 
 • presnosť merania: 0,5 stupňová presnosť 
 • IP stupeň ochrany: IP24 
 • pamäť: 6-hodinová pamäť pre prípad výpadku prúdu 
 • za/vypínač: áno 
 • napájanie: 230 V~ / 50 Hz 
 • rozmery: 440 x 950 x 110 mm 
 • hmotnosť: 9,2 kg 
 • poznámka: pre použitie ako voľne stojaci ohrievač je potrebná súprava koliesok (sada koliesok Noirot A691600) 
 • ďalšie informácie: možnosť uzamknutia PIN kódom</t>
        </is>
      </c>
    </row>
    <row r="1764">
      <c r="A1764" s="3" t="inlineStr">
        <is>
          <t>E184113</t>
        </is>
      </c>
      <c r="B1764" s="2" t="inlineStr">
        <is>
          <t>NOIROT, RADIANCE  H 1000 BL</t>
        </is>
      </c>
      <c r="C1764" s="1" t="n">
        <v>223.9</v>
      </c>
      <c r="D1764" s="7" t="n">
        <f>HYPERLINK("https://www.somogyi.sk/product/noirot-radiance-h-1000-bl-e184113-18953","https://www.somogyi.sk/product/noirot-radiance-h-1000-bl-e184113-18953")</f>
        <v>0.0</v>
      </c>
      <c r="E1764" s="7" t="n">
        <f>HYPERLINK("https://www.somogyi.sk/data/img/product_main_images/small/18953.jpg","https://www.somogyi.sk/data/img/product_main_images/small/18953.jpg")</f>
        <v>0.0</v>
      </c>
      <c r="F1764" s="2" t="inlineStr">
        <is>
          <t>3465700055564</t>
        </is>
      </c>
      <c r="G1764" s="4" t="inlineStr">
        <is>
          <t xml:space="preserve"> • umiestnenie: nástenné, voľne stojace 
 • stupne ohrievania / výkon: 1000 W 
 • termostat: elektronická (s LCD displejom) 
 • programovateľné: týždenný program: 3 prednastavené programy a 3 programy šité na mieru 
 • N/A: 15 m² 
 • vhodný aj do kúpeľne: áno 
 • N/A: áno 
 • detská poistka: áno 
 • presnosť merania: 0,5 stupňová presnosť 
 • IP stupeň ochrany: IP24 
 • pamäť: 6-hodinová pamäť pre prípad výpadku prúdu 
 • za/vypínač: áno 
 • napájanie: 230 V~ / 50 Hz 
 • rozmery: 440 x 630 x 110 mm 
 • hmotnosť: 4,7 kg 
 • poznámka: pre použitie ako voľne stojaci ohrievač je potrebná súprava koliesok (sada koliesok Noirot A691600) 
 • ďalšie informácie: možnosť uzamknutia PIN kódom</t>
        </is>
      </c>
    </row>
    <row r="1765">
      <c r="A1765" s="3" t="inlineStr">
        <is>
          <t>FK 25</t>
        </is>
      </c>
      <c r="B1765" s="2" t="inlineStr">
        <is>
          <t>Karbónový nástenný ohrievač</t>
        </is>
      </c>
      <c r="C1765" s="1" t="n">
        <v>67.99</v>
      </c>
      <c r="D1765" s="7" t="n">
        <f>HYPERLINK("https://www.somogyi.sk/product/karbonovy-nastenny-ohrievac-fk-25-16931","https://www.somogyi.sk/product/karbonovy-nastenny-ohrievac-fk-25-16931")</f>
        <v>0.0</v>
      </c>
      <c r="E1765" s="7" t="n">
        <f>HYPERLINK("https://www.somogyi.sk/data/img/product_main_images/small/16931.jpg","https://www.somogyi.sk/data/img/product_main_images/small/16931.jpg")</f>
        <v>0.0</v>
      </c>
      <c r="F1765" s="2" t="inlineStr">
        <is>
          <t>5999084949631</t>
        </is>
      </c>
      <c r="G1765" s="4" t="inlineStr">
        <is>
          <t xml:space="preserve"> • umiestnenie: nástenný 
 • stupne ohrievania / výkon: 600 W / 1200 W 
 • N/A: 18 m² 
 • vhodný aj do kúpeľne: áno 
 • IP stupeň ochrany: IPX4 
 • dĺžka napájacieho kábla: 1,5 m 
 • napájanie: 230 V~  / 50 Hz 
 • rozmery: 74,5 x 10 x 20 cm 
 • hmotnosť: 2 kg 
 • poznámka: karbónové vyhrievacie teleso 
 • ďalšie informácie: ohrievač je možné ovládať šnúrovým spínačom (dĺžka: 50 cm): 0. vypnutý stav, 1. nízky stupeň ohrevu (600 W), 2. vysoký stupeň ohrevu (1200 W) • čísla stupňov sú viditeľné v malom okienku na zariadení</t>
        </is>
      </c>
    </row>
    <row r="1766">
      <c r="A1766" s="3" t="inlineStr">
        <is>
          <t>FTW 4</t>
        </is>
      </c>
      <c r="B1766" s="2" t="inlineStr">
        <is>
          <t>Vykurovaný, elektrický sušiak uterákov</t>
        </is>
      </c>
      <c r="C1766" s="1" t="n">
        <v>73.49</v>
      </c>
      <c r="D1766" s="7" t="n">
        <f>HYPERLINK("https://www.somogyi.sk/product/vykurovany-elektricky-susiak-uterakov-ftw-4-16463","https://www.somogyi.sk/product/vykurovany-elektricky-susiak-uterakov-ftw-4-16463")</f>
        <v>0.0</v>
      </c>
      <c r="E1766" s="7" t="n">
        <f>HYPERLINK("https://www.somogyi.sk/data/img/product_main_images/small/16463.jpg","https://www.somogyi.sk/data/img/product_main_images/small/16463.jpg")</f>
        <v>0.0</v>
      </c>
      <c r="F1766" s="2" t="inlineStr">
        <is>
          <t>5999084944957</t>
        </is>
      </c>
      <c r="G1766" s="4" t="inlineStr">
        <is>
          <t xml:space="preserve"> • umiestnenie: nástenný 
 • farba: biela 
 • stupne ohrievania / výkon: 90 W 
 • výkon: 90 W 
 • vhodný aj do kúpeľne: áno 
 • IP stupeň ochrany: IPX1 
 • napájanie: 230 V~ / 50 Hz 
 • rozmery: 60 x 44,5 x 9,5 cm 
 • hmotnosť: 2 kg 
 • automatické vypnutie: automatické vypnutie v prípade prehriatia 
 • ďalšie informácie: 5 tyčí na uteráky</t>
        </is>
      </c>
    </row>
    <row r="1767">
      <c r="A1767" s="3" t="inlineStr">
        <is>
          <t>FTW 1</t>
        </is>
      </c>
      <c r="B1767" s="2" t="inlineStr">
        <is>
          <t>Vykurovaný, elektrický sušiak na prádlo</t>
        </is>
      </c>
      <c r="C1767" s="1" t="n">
        <v>78.69</v>
      </c>
      <c r="D1767" s="7" t="n">
        <f>HYPERLINK("https://www.somogyi.sk/product/vykurovany-elektricky-susiak-na-pradlo-ftw-1-15983","https://www.somogyi.sk/product/vykurovany-elektricky-susiak-na-pradlo-ftw-1-15983")</f>
        <v>0.0</v>
      </c>
      <c r="E1767" s="7" t="n">
        <f>HYPERLINK("https://www.somogyi.sk/data/img/product_main_images/small/15983.jpg","https://www.somogyi.sk/data/img/product_main_images/small/15983.jpg")</f>
        <v>0.0</v>
      </c>
      <c r="F1767" s="2" t="inlineStr">
        <is>
          <t>5999084940171</t>
        </is>
      </c>
      <c r="G1767" s="4" t="inlineStr">
        <is>
          <t xml:space="preserve"> • umiestnenie: stojanový 
 • stupne ohrievania / výkon: 220 W 
 • výkon: 220 W 
 • IP stupeň ochrany: IPX1 
 • dĺžka napájacieho kábla: 1 m 
 • napájanie: 230 V~ 
 • rozmery: otvorený: 53 x 95 x 145 cm / zatvorený: 53 x 6 x 112 cm 
 • hmotnosť: 2,7 kg 
 • automatické vypnutie: automatické vypnutie v prípade prehriatia</t>
        </is>
      </c>
    </row>
    <row r="1768">
      <c r="A1768" s="3" t="inlineStr">
        <is>
          <t>E216113</t>
        </is>
      </c>
      <c r="B1768" s="2" t="inlineStr">
        <is>
          <t>NOIROT, INOVA H 1000 BL</t>
        </is>
      </c>
      <c r="C1768" s="1" t="n">
        <v>207.9</v>
      </c>
      <c r="D1768" s="7" t="n">
        <f>HYPERLINK("https://www.somogyi.sk/product/noirot-inova-h-1000-bl-e216113-18956","https://www.somogyi.sk/product/noirot-inova-h-1000-bl-e216113-18956")</f>
        <v>0.0</v>
      </c>
      <c r="E1768" s="7" t="n">
        <f>HYPERLINK("https://www.somogyi.sk/data/img/product_main_images/small/18956.jpg","https://www.somogyi.sk/data/img/product_main_images/small/18956.jpg")</f>
        <v>0.0</v>
      </c>
      <c r="F1768" s="2" t="inlineStr">
        <is>
          <t>3465700056370</t>
        </is>
      </c>
      <c r="G1768" s="4" t="inlineStr">
        <is>
          <t xml:space="preserve"> • umiestnenie: nástenné, voľne stojace 
 • farba: biela 
 • stupne ohrievania / výkon: 1000 W 
 • termostat: elektronická (s LCD displejom) 
 • programovateľné: týždenný program: 3 prednastavené programy a 3 programy šité na mieru 
 • N/A: 15 m² 
 • vhodný aj do kúpeľne: áno 
 • N/A: áno 
 • detská poistka: áno 
 • presnosť merania: 0,5 stupňová presnosť 
 • IP stupeň ochrany: IP24 
 • pamäť: 6-hodinová pamäť pre prípad výpadku prúdu 
 • za/vypínač: áno 
 • napájanie: 230 V~ / 50 Hz 
 • rozmery: 440 x 630 x 105 mm 
 • hmotnosť: 5,5 kg 
 • poznámka: pre použitie ako voľne stojaci ohrievač je potrebná súprava koliesok (sada koliesok Noirot A691600) 
 • ďalšie informácie: možnosť uzamknutia PIN kódom</t>
        </is>
      </c>
    </row>
    <row r="1769">
      <c r="A1769" s="3" t="inlineStr">
        <is>
          <t>FK 252</t>
        </is>
      </c>
      <c r="B1769" s="2" t="inlineStr">
        <is>
          <t>Kombinovaný karbónový a halogénový ohrievač</t>
        </is>
      </c>
      <c r="C1769" s="1" t="n">
        <v>144.9</v>
      </c>
      <c r="D1769" s="7" t="n">
        <f>HYPERLINK("https://www.somogyi.sk/product/kombinovany-karbonovy-a-halogenovy-ohrievac-fk-252-16930","https://www.somogyi.sk/product/kombinovany-karbonovy-a-halogenovy-ohrievac-fk-252-16930")</f>
        <v>0.0</v>
      </c>
      <c r="E1769" s="7" t="n">
        <f>HYPERLINK("https://www.somogyi.sk/data/img/product_main_images/small/16930.jpg","https://www.somogyi.sk/data/img/product_main_images/small/16930.jpg")</f>
        <v>0.0</v>
      </c>
      <c r="F1769" s="2" t="inlineStr">
        <is>
          <t>5999084949624</t>
        </is>
      </c>
      <c r="G1769" s="4" t="inlineStr">
        <is>
          <t xml:space="preserve"> • umiestnenie: stojanový 
 • stupne ohrievania / výkon: 1200 W 
 • diaľkový ovládač: áno 
 • N/A: 18 m² 
 • vhodný aj do kúpeľne: áno 
 • časovač: 6 h časovač vypnutia 
 • IP stupeň ochrany: IPX4 
 • automatické vypnutie v prípade prevrhnutia: áno 
 • oscilácia: áno 
 • dĺžka napájacieho kábla: 1,4 m 
 • napájanie: 230 V~  / 50 Hz 
 • rozmery: ∅27 x 86 cm 
 • hmotnosť: 4,5 kg 
 • poznámka: halogénová a karbónová vyhrievacia vložka</t>
        </is>
      </c>
    </row>
    <row r="1770">
      <c r="A1770" s="3" t="inlineStr">
        <is>
          <t>E184115</t>
        </is>
      </c>
      <c r="B1770" s="2" t="inlineStr">
        <is>
          <t>NOIROT, RADIANCE  H 1500 BL</t>
        </is>
      </c>
      <c r="C1770" s="1" t="n">
        <v>258.9</v>
      </c>
      <c r="D1770" s="7" t="n">
        <f>HYPERLINK("https://www.somogyi.sk/product/noirot-radiance-h-1500-bl-e184115-18954","https://www.somogyi.sk/product/noirot-radiance-h-1500-bl-e184115-18954")</f>
        <v>0.0</v>
      </c>
      <c r="E1770" s="7" t="n">
        <f>HYPERLINK("https://www.somogyi.sk/data/img/product_main_images/small/18954.jpg","https://www.somogyi.sk/data/img/product_main_images/small/18954.jpg")</f>
        <v>0.0</v>
      </c>
      <c r="F1770" s="2" t="inlineStr">
        <is>
          <t>3465700055571</t>
        </is>
      </c>
      <c r="G1770" s="4" t="inlineStr">
        <is>
          <t xml:space="preserve"> • umiestnenie: nástenné, voľne stojace 
 • stupne ohrievania / výkon: 1500 W 
 • termostat: elektronický (s LCD displejom) 
 • programovateľné: týždenný program: 3 prednastavené programy a 3 programy šité na mieru 
 • N/A: 23 m² 
 • vhodný aj do kúpeľne: áno 
 • N/A: áno 
 • detská poistka: áno 
 • presnosť merania: 0,5 stupňová presnosť 
 • IP stupeň ochrany: IP24 
 • pamäť: 6-hodinová pamäť pre prípad výpadku prúdu 
 • za/vypínač: áno 
 • napájanie: 230 V~ / 50 Hz 
 • rozmery: 440 x 790 x 110 mm 
 • hmotnosť: 5,9 kg 
 • poznámka: pre použitie ako voľne stojaci ohrievač je potrebná súprava koliesok (sada koliesok Noirot A691600) 
 • ďalšie informácie: možnosť uzamknutia PIN kódom</t>
        </is>
      </c>
    </row>
    <row r="1771">
      <c r="A1771" s="3" t="inlineStr">
        <is>
          <t>FK 272</t>
        </is>
      </c>
      <c r="B1771" s="2" t="inlineStr">
        <is>
          <t>Quartzový vonkajší ohrievač</t>
        </is>
      </c>
      <c r="C1771" s="1" t="n">
        <v>91.29</v>
      </c>
      <c r="D1771" s="7" t="n">
        <f>HYPERLINK("https://www.somogyi.sk/product/quartzovy-vonkajsi-ohrievac-fk-272-16933","https://www.somogyi.sk/product/quartzovy-vonkajsi-ohrievac-fk-272-16933")</f>
        <v>0.0</v>
      </c>
      <c r="E1771" s="7" t="n">
        <f>HYPERLINK("https://www.somogyi.sk/data/img/product_main_images/small/16933.jpg","https://www.somogyi.sk/data/img/product_main_images/small/16933.jpg")</f>
        <v>0.0</v>
      </c>
      <c r="F1771" s="2" t="inlineStr">
        <is>
          <t>5999084949655</t>
        </is>
      </c>
      <c r="G1771" s="4" t="inlineStr">
        <is>
          <t xml:space="preserve"> • umiestnenie: stojanový 
 • stupne ohrievania / výkon: 650 W / 1350 W / 2000 W 
 • diaľkový ovládač: 30 m² 
 • IP stupeň ochrany: IPX4 
 • automatické vypnutie v prípade prevrhnutia: áno 
 • dĺžka napájacieho kábla: 1,8 m 
 • napájanie: 230 V~  / 50 Hz 
 • rozmery: ∅50 x 177-205 cm 
 • hmotnosť: 8 kg</t>
        </is>
      </c>
    </row>
    <row r="1772">
      <c r="A1772" s="3" t="inlineStr">
        <is>
          <t>FTW 2</t>
        </is>
      </c>
      <c r="B1772" s="2" t="inlineStr">
        <is>
          <t>Vykurovaný, elektrický sušiak terákov</t>
        </is>
      </c>
      <c r="C1772" s="1" t="n">
        <v>68.49</v>
      </c>
      <c r="D1772" s="7" t="n">
        <f>HYPERLINK("https://www.somogyi.sk/product/vykurovany-elektricky-susiak-terakov-ftw-2-15985","https://www.somogyi.sk/product/vykurovany-elektricky-susiak-terakov-ftw-2-15985")</f>
        <v>0.0</v>
      </c>
      <c r="E1772" s="7" t="n">
        <f>HYPERLINK("https://www.somogyi.sk/data/img/product_main_images/small/15985.jpg","https://www.somogyi.sk/data/img/product_main_images/small/15985.jpg")</f>
        <v>0.0</v>
      </c>
      <c r="F1772" s="2" t="inlineStr">
        <is>
          <t>5999084940195</t>
        </is>
      </c>
      <c r="G1772" s="4" t="inlineStr">
        <is>
          <t xml:space="preserve"> • umiestnenie: nástenný, stojanový 
 • stupne ohrievania / výkon: 100 W 
 • výkon: 100 W 
 • IP stupeň ochrany: IPX1 
 • dĺžka napájacieho kábla: 1,5 m 
 • napájanie: 230 V~ 
 • rozmery: montovaný na stenu: 54 x 86 x 10,2 cm / s postavcom: 54 x 91 x 35,3 cm 
 • hmotnosť: 2 kg 
 • poznámka: 6 tyčí na uteráky 
 • automatické vypnutie: automatické vypnutie v prípade prehriatia 
 • ďalšie informácie: 6 tyčí na uteráky</t>
        </is>
      </c>
    </row>
    <row r="1773">
      <c r="A1773" s="3" t="inlineStr">
        <is>
          <t>E216115</t>
        </is>
      </c>
      <c r="B1773" s="2" t="inlineStr">
        <is>
          <t>NOIROT, INOVA H 1500 BL</t>
        </is>
      </c>
      <c r="C1773" s="1" t="n">
        <v>231.9</v>
      </c>
      <c r="D1773" s="7" t="n">
        <f>HYPERLINK("https://www.somogyi.sk/product/noirot-inova-h-1500-bl-e216115-18957","https://www.somogyi.sk/product/noirot-inova-h-1500-bl-e216115-18957")</f>
        <v>0.0</v>
      </c>
      <c r="E1773" s="7" t="n">
        <f>HYPERLINK("https://www.somogyi.sk/data/img/product_main_images/small/18957.jpg","https://www.somogyi.sk/data/img/product_main_images/small/18957.jpg")</f>
        <v>0.0</v>
      </c>
      <c r="F1773" s="2" t="inlineStr">
        <is>
          <t>3465700056387</t>
        </is>
      </c>
      <c r="G1773" s="4" t="inlineStr">
        <is>
          <t xml:space="preserve"> • umiestnenie: nástenný, voľne stojaci 
 • farba: biela 
 • stupne ohrievania / výkon: 1500 W 
 • termostat: elektronická (s LCD displejom) 
 • programovateľné: týždenný program: 3 prednastavené programy a 3 programy šité na mieru 
 • N/A: 23 m² 
 • vhodný aj do kúpeľne: áno 
 • N/A: áno 
 • detská poistka: áno 
 • presnosť merania: 0,5 stupňová presnosť 
 • IP stupeň ochrany: IP24 
 • pamäť: 6-hodinová pamäť pre prípad výpadku prúdu 
 • za/vypínač: áno 
 • napájanie: 230 V~ / 50 Hz 
 • rozmery: 440 x 790 x 110 mm 
 • hmotnosť: 7,5 kg 
 • poznámka: pre použitie ako voľne stojaci ohrievač je potrebná súprava koliesok (sada koliesok Noirot A691600) 
 • ďalšie informácie: možnosť uzamknutia PIN kódom</t>
        </is>
      </c>
    </row>
    <row r="1774">
      <c r="A1774" s="3" t="inlineStr">
        <is>
          <t>FKT 42CM</t>
        </is>
      </c>
      <c r="B1774" s="2" t="inlineStr">
        <is>
          <t>Vyhrievacia vložka, 42 cm, 600W</t>
        </is>
      </c>
      <c r="C1774" s="1" t="n">
        <v>4.09</v>
      </c>
      <c r="D1774" s="7" t="n">
        <f>HYPERLINK("https://www.somogyi.sk/product/vyhrievacia-vlozka-42-cm-600w-fkt-42cm-7333","https://www.somogyi.sk/product/vyhrievacia-vlozka-42-cm-600w-fkt-42cm-7333")</f>
        <v>0.0</v>
      </c>
      <c r="E1774" s="7" t="n">
        <f>HYPERLINK("https://www.somogyi.sk/data/img/product_main_images/small/07333.jpg","https://www.somogyi.sk/data/img/product_main_images/small/07333.jpg")</f>
        <v>0.0</v>
      </c>
      <c r="F1774" s="2" t="inlineStr">
        <is>
          <t>5998312763223</t>
        </is>
      </c>
      <c r="G1774" s="4" t="inlineStr">
        <is>
          <t xml:space="preserve"> • stupne ohrievania / výkon: 600 W 
 • IP stupeň ochrany: nie 
 • automatické vypnutie v prípade prevrhnutia: nie 
 • oscilácia: nie 
 • napájanie: 230 V~ 
 • rozmery: 42 cm 
 • poznámka: k prístrojom FK 2,  FK 22</t>
        </is>
      </c>
    </row>
    <row r="1775">
      <c r="A1775" s="3" t="inlineStr">
        <is>
          <t>FKT 24CM</t>
        </is>
      </c>
      <c r="B1775" s="2" t="inlineStr">
        <is>
          <t>Vyhrievacia vložka, 24 cm, 400W</t>
        </is>
      </c>
      <c r="C1775" s="1" t="n">
        <v>3.69</v>
      </c>
      <c r="D1775" s="7" t="n">
        <f>HYPERLINK("https://www.somogyi.sk/product/vyhrievacia-vlozka-24-cm-400w-fkt-24cm-7334","https://www.somogyi.sk/product/vyhrievacia-vlozka-24-cm-400w-fkt-24cm-7334")</f>
        <v>0.0</v>
      </c>
      <c r="E1775" s="7" t="n">
        <f>HYPERLINK("https://www.somogyi.sk/data/img/product_main_images/small/07334.jpg","https://www.somogyi.sk/data/img/product_main_images/small/07334.jpg")</f>
        <v>0.0</v>
      </c>
      <c r="F1775" s="2" t="inlineStr">
        <is>
          <t>5998312763230</t>
        </is>
      </c>
      <c r="G1775" s="4" t="inlineStr">
        <is>
          <t xml:space="preserve"> • stupne ohrievania / výkon: 400 W 
 • IP stupeň ochrany: nie 
 • automatické vypnutie v prípade prevrhnutia: nie 
 • oscilácia: nie 
 • napájanie: 230 V~ 
 • rozmery: 24 cm 
 • poznámka: k prístrojom FK 4, FK 6, FK 6/K</t>
        </is>
      </c>
    </row>
    <row r="1776">
      <c r="A1776" s="3" t="inlineStr">
        <is>
          <t>FK 23</t>
        </is>
      </c>
      <c r="B1776" s="2" t="inlineStr">
        <is>
          <t>Halogénový ohrievač</t>
        </is>
      </c>
      <c r="C1776" s="1" t="n">
        <v>39.69</v>
      </c>
      <c r="D1776" s="7" t="n">
        <f>HYPERLINK("https://www.somogyi.sk/product/halogenovy-ohrievac-fk-23-14753","https://www.somogyi.sk/product/halogenovy-ohrievac-fk-23-14753")</f>
        <v>0.0</v>
      </c>
      <c r="E1776" s="7" t="n">
        <f>HYPERLINK("https://www.somogyi.sk/data/img/product_main_images/small/14753.jpg","https://www.somogyi.sk/data/img/product_main_images/small/14753.jpg")</f>
        <v>0.0</v>
      </c>
      <c r="F1776" s="2" t="inlineStr">
        <is>
          <t>5999084927936</t>
        </is>
      </c>
      <c r="G1776" s="4" t="inlineStr">
        <is>
          <t xml:space="preserve"> • stupne ohrievania / výkon: 400 W / 800 W / 1200 W 
 • N/A: 18 m² 
 • vhodný aj do kúpeľne: nie 
 • IP stupeň ochrany: IP20 
 • automatické vypnutie v prípade prevrhnutia: áno 
 • oscilácia: áno 
 • typ vyhrievacej vložky: FK 23/T 
 • dĺžka napájacieho kábla: 1,25 m 
 • napájanie: 230 V~  / 50 Hz 
 • rozmery: 30 x 70 x 30 cm 
 • hmotnosť: 1,9 kg 
 • poznámka: halogénový ohrievač</t>
        </is>
      </c>
    </row>
    <row r="1777">
      <c r="A1777" s="3" t="inlineStr">
        <is>
          <t>E184117</t>
        </is>
      </c>
      <c r="B1777" s="2" t="inlineStr">
        <is>
          <t>NOIROT, RADIANCE H 2000 BL</t>
        </is>
      </c>
      <c r="C1777" s="1" t="n">
        <v>297.9</v>
      </c>
      <c r="D1777" s="7" t="n">
        <f>HYPERLINK("https://www.somogyi.sk/product/noirot-radiance-h-2000-bl-e184117-18955","https://www.somogyi.sk/product/noirot-radiance-h-2000-bl-e184117-18955")</f>
        <v>0.0</v>
      </c>
      <c r="E1777" s="7" t="n">
        <f>HYPERLINK("https://www.somogyi.sk/data/img/product_main_images/small/18955.jpg","https://www.somogyi.sk/data/img/product_main_images/small/18955.jpg")</f>
        <v>0.0</v>
      </c>
      <c r="F1777" s="2" t="inlineStr">
        <is>
          <t>3465700055588</t>
        </is>
      </c>
      <c r="G1777" s="4" t="inlineStr">
        <is>
          <t xml:space="preserve"> • umiestnenie: nástenné, voľne stojace 
 • stupne ohrievania / výkon: 2000 W 
 • termostat: elektronický (s LCD displejom) 
 • programovateľné: týždenný program: 3 prednastavené programy a 3 programy šité na mieru 
 • N/A: 30 m² 
 • vhodný aj do kúpeľne: áno 
 • N/A: áno 
 • detská poistka: áno 
 • presnosť merania: 0,5 stupňová presnosť 
 • IP stupeň ochrany: IP24 
 • pamäť: 6-hodinová pamäť pre prípad výpadku prúdu 
 • za/vypínač: áno 
 • napájanie: 230 V~ / 50 Hz 
 • rozmery: 440 x 1030 x 110 mm 
 • hmotnosť: 7,3 kg 
 • poznámka: pre použitie ako voľne stojaci ohrievač je potrebná súprava koliesok (sada koliesok Noirot A691600) 
 • ďalšie informácie: možnosť uzamknutia PIN kódom</t>
        </is>
      </c>
    </row>
    <row r="1778">
      <c r="A1778" s="3" t="inlineStr">
        <is>
          <t>FK 231/T</t>
        </is>
      </c>
      <c r="B1778" s="2" t="inlineStr">
        <is>
          <t>Vyhrievacia vložka do FK 23</t>
        </is>
      </c>
      <c r="C1778" s="1" t="n">
        <v>3.19</v>
      </c>
      <c r="D1778" s="7" t="n">
        <f>HYPERLINK("https://www.somogyi.sk/product/vyhrievacia-vlozka-do-fk-23-fk-231-t-18276","https://www.somogyi.sk/product/vyhrievacia-vlozka-do-fk-23-fk-231-t-18276")</f>
        <v>0.0</v>
      </c>
      <c r="E1778" s="7" t="n">
        <f>HYPERLINK("https://www.somogyi.sk/data/img/product_main_images/small/18276.jpg","https://www.somogyi.sk/data/img/product_main_images/small/18276.jpg")</f>
        <v>0.0</v>
      </c>
      <c r="F1778" s="2" t="inlineStr">
        <is>
          <t>5999084962982</t>
        </is>
      </c>
      <c r="G1778" s="4" t="inlineStr">
        <is>
          <t xml:space="preserve"> • stupne ohrievania / výkon: 400 W 
 • napájanie: 230 V~ / 50 Hz 
 • rozmery: 160 mm</t>
        </is>
      </c>
    </row>
    <row r="1779">
      <c r="A1779" s="6" t="inlineStr">
        <is>
          <t xml:space="preserve">   Vykurovanie, Odvlhčovanie / Konvektor, elektrické vykurovacie teleso, ohrievač</t>
        </is>
      </c>
      <c r="B1779" s="6" t="inlineStr">
        <is>
          <t/>
        </is>
      </c>
      <c r="C1779" s="6" t="inlineStr">
        <is>
          <t/>
        </is>
      </c>
      <c r="D1779" s="6" t="inlineStr">
        <is>
          <t/>
        </is>
      </c>
      <c r="E1779" s="6" t="inlineStr">
        <is>
          <t/>
        </is>
      </c>
      <c r="F1779" s="6" t="inlineStr">
        <is>
          <t/>
        </is>
      </c>
      <c r="G1779" s="6" t="inlineStr">
        <is>
          <t/>
        </is>
      </c>
    </row>
    <row r="1780">
      <c r="A1780" s="3" t="inlineStr">
        <is>
          <t>FK 54</t>
        </is>
      </c>
      <c r="B1780" s="2" t="inlineStr">
        <is>
          <t>Stojanový keramický ohrievač s diaľ. ovládačom, 2000 W</t>
        </is>
      </c>
      <c r="C1780" s="1" t="n">
        <v>56.29</v>
      </c>
      <c r="D1780" s="7" t="n">
        <f>HYPERLINK("https://www.somogyi.sk/product/stojanovy-keramicky-ohrievac-s-dial-ovladacom-2000-w-fk-54-18064","https://www.somogyi.sk/product/stojanovy-keramicky-ohrievac-s-dial-ovladacom-2000-w-fk-54-18064")</f>
        <v>0.0</v>
      </c>
      <c r="E1780" s="7" t="n">
        <f>HYPERLINK("https://www.somogyi.sk/data/img/product_main_images/small/18064.jpg","https://www.somogyi.sk/data/img/product_main_images/small/18064.jpg")</f>
        <v>0.0</v>
      </c>
      <c r="F1780" s="2" t="inlineStr">
        <is>
          <t>5999084960865</t>
        </is>
      </c>
      <c r="G1780" s="4" t="inlineStr">
        <is>
          <t xml:space="preserve"> • stupne teploty: 2 (1400 W / 2000 W) 
 • displej: LED 
 • IP stupeň ochrany: IP20 (žiadna ochrana pred vodou!) 
 • umiestnenie: vnútorný • prenosný (obývacia izba, spálňa, detská izba) 
 • termostat: digitálny termostat 
 • diaľkový ovládač: áno 
 • N/A: 15-40°C 
 • vhodný aj do kúpeľne: nie 
 • časovač: 12 h časovač vypnutia 
 • N/A: 30 m² 
 • zabudovaný ventilátor: áno 
 • ochrana proti prehriatiu: áno 
 • N/A: áno 
 • hlučnosť: 60 dB(A) 
 • charakteristiky: zapínateľná oscilácia 
 • napájanie: 220-240 V~ / 50 Hz • diaľkový ovládač: 1x3 V (CR2025) gombíková batéria 
 • rozmery: Ø235 x 635 mm</t>
        </is>
      </c>
    </row>
    <row r="1781">
      <c r="A1781" s="3" t="inlineStr">
        <is>
          <t>FK 350 WIFI</t>
        </is>
      </c>
      <c r="B1781" s="2" t="inlineStr">
        <is>
          <t>Smart elektrický konvektor</t>
        </is>
      </c>
      <c r="C1781" s="1" t="n">
        <v>95.69</v>
      </c>
      <c r="D1781" s="7" t="n">
        <f>HYPERLINK("https://www.somogyi.sk/product/smart-elektricky-konvektor-fk-350-wifi-16932","https://www.somogyi.sk/product/smart-elektricky-konvektor-fk-350-wifi-16932")</f>
        <v>0.0</v>
      </c>
      <c r="E1781" s="7" t="n">
        <f>HYPERLINK("https://www.somogyi.sk/data/img/product_main_images/small/16932.jpg","https://www.somogyi.sk/data/img/product_main_images/small/16932.jpg")</f>
        <v>0.0</v>
      </c>
      <c r="F1781" s="2" t="inlineStr">
        <is>
          <t>5999084949648</t>
        </is>
      </c>
      <c r="G1781" s="4" t="inlineStr">
        <is>
          <t xml:space="preserve"> • wifi: áno (prevádzková frekvencia: 2,4 GHz) 
 • stupne teploty: 1000 W / 1300 W / 2300 W 
 • displej: LCD 
 • umiestnenie: stojanový 
 • termostat: elektronický 
 • N/A: 5 °C - 37 °C 
 • vhodný aj do kúpeľne: nie 
 • N/A: 35 m² 
 • funkcia ochrany pred mrazom (+5 °C): áno 
 • zabudovaný ventilátor: turbo ventilátor 
 • ochrana proti prehriatiu: áno 
 • dĺžka napájacieho kábla: 1,4 m 
 • hlučnosť: 56 db(A) 
 • napájanie: 230 V~  / 50 Hz 
 • rozmery: 68 x 41,5 x 18 cm 
 • hmotnosť: 4,5 kg</t>
        </is>
      </c>
    </row>
    <row r="1782">
      <c r="A1782" s="3" t="inlineStr">
        <is>
          <t>FK331</t>
        </is>
      </c>
      <c r="B1782" s="2" t="inlineStr">
        <is>
          <t>Konvektorový ohrievač prenosný</t>
        </is>
      </c>
      <c r="C1782" s="1" t="n">
        <v>31.89</v>
      </c>
      <c r="D1782" s="7" t="n">
        <f>HYPERLINK("https://www.somogyi.sk/product/konvektorovy-ohrievac-prenosny-fk331-18477","https://www.somogyi.sk/product/konvektorovy-ohrievac-prenosny-fk331-18477")</f>
        <v>0.0</v>
      </c>
      <c r="E1782" s="7" t="n">
        <f>HYPERLINK("https://www.somogyi.sk/data/img/product_main_images/small/18477.jpg","https://www.somogyi.sk/data/img/product_main_images/small/18477.jpg")</f>
        <v>0.0</v>
      </c>
      <c r="F1782" s="2" t="inlineStr">
        <is>
          <t>5999084964955</t>
        </is>
      </c>
      <c r="G1782" s="4" t="inlineStr">
        <is>
          <t xml:space="preserve"> • stupne teploty: 750 W / 1250 W / 2000 W 
 • IP stupeň ochrany: IP20 
 • umiestnenie: stojanový 
 • termostat: áno 
 • vhodný aj do kúpeľne: nie 
 • N/A: 30 m² 
 • ochrana proti prehriatiu: áno 
 • napájanie: 230 V~ / 50 Hz 
 • rozmery: 57 x 32,5 x 20,5 cm 
 • hmotnosť: 2,5 kg</t>
        </is>
      </c>
    </row>
    <row r="1783">
      <c r="A1783" s="3" t="inlineStr">
        <is>
          <t>A691600</t>
        </is>
      </c>
      <c r="B1783" s="2" t="inlineStr">
        <is>
          <t>NOIROT, CASTORS (2 konzoly + 4 kolieska)</t>
        </is>
      </c>
      <c r="C1783" s="1" t="n">
        <v>17.99</v>
      </c>
      <c r="D1783" s="7" t="n">
        <f>HYPERLINK("https://www.somogyi.sk/product/noirot-castors-2-konzoly-4-kolieska-a691600-18978","https://www.somogyi.sk/product/noirot-castors-2-konzoly-4-kolieska-a691600-18978")</f>
        <v>0.0</v>
      </c>
      <c r="E1783" s="7" t="n">
        <f>HYPERLINK("https://www.somogyi.sk/data/img/product_main_images/small/18978.jpg","https://www.somogyi.sk/data/img/product_main_images/small/18978.jpg")</f>
        <v>0.0</v>
      </c>
      <c r="F1783" s="2" t="inlineStr">
        <is>
          <t>5999084969721</t>
        </is>
      </c>
      <c r="G1783" s="4" t="inlineStr">
        <is>
          <t xml:space="preserve"> • farba: biela 
 •  
 • balenie: jeden pár / balenie</t>
        </is>
      </c>
    </row>
    <row r="1784">
      <c r="A1784" s="3" t="inlineStr">
        <is>
          <t>FKA 150</t>
        </is>
      </c>
      <c r="B1784" s="2" t="inlineStr">
        <is>
          <t>Nástenný ohrievač prémium, max. 1500 W</t>
        </is>
      </c>
      <c r="C1784" s="1" t="n">
        <v>156.9</v>
      </c>
      <c r="D1784" s="7" t="n">
        <f>HYPERLINK("https://www.somogyi.sk/product/nastenny-ohrievac-premium-max-1500-w-fka-150-17756","https://www.somogyi.sk/product/nastenny-ohrievac-premium-max-1500-w-fka-150-17756")</f>
        <v>0.0</v>
      </c>
      <c r="E1784" s="7" t="n">
        <f>HYPERLINK("https://www.somogyi.sk/data/img/product_main_images/small/17756.jpg","https://www.somogyi.sk/data/img/product_main_images/small/17756.jpg")</f>
        <v>0.0</v>
      </c>
      <c r="F1784" s="2" t="inlineStr">
        <is>
          <t>5999084957780</t>
        </is>
      </c>
      <c r="G1784" s="4" t="inlineStr">
        <is>
          <t xml:space="preserve"> • stupne teploty: menovitý 1500 W 
 • displej: LCD 
 • umiestnenie: nástenný 
 • materiál: hliníková vyhrievacia vložka 
 • termostat: elektronický termostat 
 • N/A: 5 – 29 °C 
 • vhodný aj do kúpeľne: nie 
 • časovač: týždenný program 
 • N/A: 23 m² 
 • funkcia ochrany pred mrazom (+5 °C): áno 
 • ochrana proti prehriatiu: áno 
 • dĺžka napájacieho kábla: 1,5 m 
 • ďalšie informácie: režim komfort a economy • senzor otvoreného okna 
 • napájanie: 220 - 240 V~ / 50 Hz 
 • rozmery: 69 x 44 x 9,45 cm 
 • hmotnosť: 6,5 kg</t>
        </is>
      </c>
    </row>
    <row r="1785">
      <c r="A1785" s="3" t="inlineStr">
        <is>
          <t>FKIR 452</t>
        </is>
      </c>
      <c r="B1785" s="2" t="inlineStr">
        <is>
          <t>Hybridný infra ohrievač, 450 W</t>
        </is>
      </c>
      <c r="C1785" s="1" t="n">
        <v>191.9</v>
      </c>
      <c r="D1785" s="7" t="n">
        <f>HYPERLINK("https://www.somogyi.sk/product/hybridny-infra-ohrievac-450-w-fkir-452-17762","https://www.somogyi.sk/product/hybridny-infra-ohrievac-450-w-fkir-452-17762")</f>
        <v>0.0</v>
      </c>
      <c r="E1785" s="7" t="n">
        <f>HYPERLINK("https://www.somogyi.sk/data/img/product_main_images/small/17762.jpg","https://www.somogyi.sk/data/img/product_main_images/small/17762.jpg")</f>
        <v>0.0</v>
      </c>
      <c r="F1785" s="2" t="inlineStr">
        <is>
          <t>5999084957841</t>
        </is>
      </c>
      <c r="G1785" s="4" t="inlineStr">
        <is>
          <t xml:space="preserve"> • stupne teploty: 450 W 
 • IP stupeň ochrany: IP20 
 • umiestnenie: nástenné alebo stropné 
 • termostat: elektronický termostat zabudovaný v diaľkovom ovládači 
 • diaľkový ovládač: áno 
 • N/A: 0 °C - 70 °C 
 • vhodný aj do kúpeľne: nie 
 • časovač: týždenný program 
 • N/A: 7 m² 
 • zabudovaný ventilátor: nie 
 • ochrana proti prehriatiu: áno 
 • dĺžka napájacieho kábla: 1,6 m 
 • ďalšie informácie: detekcia otvorenia okna 
 • napájanie: 230 V~ / 50 Hz 
 • rozmery: 90 x 50 x 4 cm 
 • hmotnosť: 3,45 kg</t>
        </is>
      </c>
    </row>
    <row r="1786">
      <c r="A1786" s="3" t="inlineStr">
        <is>
          <t>FKIR 962</t>
        </is>
      </c>
      <c r="B1786" s="2" t="inlineStr">
        <is>
          <t>Hybridný infra ohrievač, 960 W</t>
        </is>
      </c>
      <c r="C1786" s="1" t="n">
        <v>284.9</v>
      </c>
      <c r="D1786" s="7" t="n">
        <f>HYPERLINK("https://www.somogyi.sk/product/hybridny-infra-ohrievac-960-w-fkir-962-17764","https://www.somogyi.sk/product/hybridny-infra-ohrievac-960-w-fkir-962-17764")</f>
        <v>0.0</v>
      </c>
      <c r="E1786" s="7" t="n">
        <f>HYPERLINK("https://www.somogyi.sk/data/img/product_main_images/small/17764.jpg","https://www.somogyi.sk/data/img/product_main_images/small/17764.jpg")</f>
        <v>0.0</v>
      </c>
      <c r="F1786" s="2" t="inlineStr">
        <is>
          <t>5999084957865</t>
        </is>
      </c>
      <c r="G1786" s="4" t="inlineStr">
        <is>
          <t xml:space="preserve"> • stupne teploty: 960 W 
 • IP stupeň ochrany: IP20 
 • umiestnenie: nástenné alebo stropné 
 • termostat: elektronický termostat zabudovaný v diaľkovom ovládači 
 • diaľkový ovládač: áno 
 • N/A: 0 °C - 70 °C 
 • vhodný aj do kúpeľne: nie 
 • časovač: týždenný program 
 • N/A: 14 m² 
 • zabudovaný ventilátor: nie 
 • ochrana proti prehriatiu: áno 
 • dĺžka napájacieho kábla: 1,6 m 
 • ďalšie informácie: detekcia otvorenia okna 
 • napájanie: 230 V~ / 50 Hz 
 • rozmery: 120 x 80 x 4 cm 
 • hmotnosť: 6,6 kg</t>
        </is>
      </c>
    </row>
    <row r="1787">
      <c r="A1787" s="3" t="inlineStr">
        <is>
          <t>FKM 450</t>
        </is>
      </c>
      <c r="B1787" s="2" t="inlineStr">
        <is>
          <t>Ohrievač, ochrana proti zamrznutiu</t>
        </is>
      </c>
      <c r="C1787" s="1" t="n">
        <v>25.89</v>
      </c>
      <c r="D1787" s="7" t="n">
        <f>HYPERLINK("https://www.somogyi.sk/product/ohrievac-ochrana-proti-zamrznutiu-fkm-450-15980","https://www.somogyi.sk/product/ohrievac-ochrana-proti-zamrznutiu-fkm-450-15980")</f>
        <v>0.0</v>
      </c>
      <c r="E1787" s="7" t="n">
        <f>HYPERLINK("https://www.somogyi.sk/data/img/product_main_images/small/15980.jpg","https://www.somogyi.sk/data/img/product_main_images/small/15980.jpg")</f>
        <v>0.0</v>
      </c>
      <c r="F1787" s="2" t="inlineStr">
        <is>
          <t>5999084940140</t>
        </is>
      </c>
      <c r="G1787" s="4" t="inlineStr">
        <is>
          <t xml:space="preserve"> • stupne teploty: 450 W 
 • umiestnenie: stojanový 
 • termostat: áno 
 • diaľkový ovládač: nie 
 • N/A: 7 m² 
 • funkcia ochrany pred mrazom (+5 °C): áno 
 • zabudovaný ventilátor: 5 °C - 30 °C 
 • dĺžka napájacieho kábla: 1,5 m 
 • ďalšie informácie: Výrobok je určený výlučne na vykurovanie dobre izolovaných miestností alebo na príležitostné používanie! 
 • napájanie: 230 V~ 
 • rozmery: 30 x 28,5 x 18 cm 
 • hmotnosť: 1 kg</t>
        </is>
      </c>
    </row>
    <row r="1788">
      <c r="A1788" s="3" t="inlineStr">
        <is>
          <t>FK 55</t>
        </is>
      </c>
      <c r="B1788" s="2" t="inlineStr">
        <is>
          <t>Keramický ohrievač, digitálny termostat</t>
        </is>
      </c>
      <c r="C1788" s="1" t="n">
        <v>34.29</v>
      </c>
      <c r="D1788" s="7" t="n">
        <f>HYPERLINK("https://www.somogyi.sk/product/keramicky-ohrievac-digitalny-termostat-fk-55-18105","https://www.somogyi.sk/product/keramicky-ohrievac-digitalny-termostat-fk-55-18105")</f>
        <v>0.0</v>
      </c>
      <c r="E1788" s="7" t="n">
        <f>HYPERLINK("https://www.somogyi.sk/data/img/product_main_images/small/18105.jpg","https://www.somogyi.sk/data/img/product_main_images/small/18105.jpg")</f>
        <v>0.0</v>
      </c>
      <c r="F1788" s="2" t="inlineStr">
        <is>
          <t>5999084961275</t>
        </is>
      </c>
      <c r="G1788" s="4" t="inlineStr">
        <is>
          <t xml:space="preserve"> • stupne teploty: 2 (1000 W / 1500 W) 
 • displej: LED 
 • IP stupeň ochrany: IP20 (žiadna ochrana pred vodou!) 
 • umiestnenie: vnútorný • prenosný (obývacia izba, spálňa, detská izba) 
 • termostat: digitálny termostat 
 • N/A: 15-45°C 
 • vhodný aj do kúpeľne: nie 
 • časovač: 12 h časovač vypnutia 
 • N/A: 23 m² 
 • zabudovaný ventilátor: áno 
 • ochrana proti prehriatiu: áno 
 • N/A: áno 
 • hlučnosť: 55 dB(A) 
 • charakteristiky: zapínateľná oscilácia 
 • napájanie: 220-240 V~ / 50 Hz 
 • rozmery: 174 x 243 x 117 mm</t>
        </is>
      </c>
    </row>
    <row r="1789">
      <c r="A1789" s="3" t="inlineStr">
        <is>
          <t>FKA 100</t>
        </is>
      </c>
      <c r="B1789" s="2" t="inlineStr">
        <is>
          <t>Nástenný ohrievač prémium, max. 1000 W</t>
        </is>
      </c>
      <c r="C1789" s="1" t="n">
        <v>132.9</v>
      </c>
      <c r="D1789" s="7" t="n">
        <f>HYPERLINK("https://www.somogyi.sk/product/nastenny-ohrievac-premium-max-1000-w-fka-100-17754","https://www.somogyi.sk/product/nastenny-ohrievac-premium-max-1000-w-fka-100-17754")</f>
        <v>0.0</v>
      </c>
      <c r="E1789" s="7" t="n">
        <f>HYPERLINK("https://www.somogyi.sk/data/img/product_main_images/small/17754.jpg","https://www.somogyi.sk/data/img/product_main_images/small/17754.jpg")</f>
        <v>0.0</v>
      </c>
      <c r="F1789" s="2" t="inlineStr">
        <is>
          <t>5999084957766</t>
        </is>
      </c>
      <c r="G1789" s="4" t="inlineStr">
        <is>
          <t xml:space="preserve"> • stupne teploty: menovitý 1000 W 
 • displej: LCD 
 • umiestnenie: nástenný 
 • materiál: hliníková vyhrievacia vložka 
 • termostat: elektronický termostat 
 • N/A: 5 – 29 °C 
 • vhodný aj do kúpeľne: nie 
 • časovač: týždenný program 
 • N/A: 15 m² 
 • funkcia ochrany pred mrazom (+5 °C): áno 
 • ochrana proti prehriatiu: áno 
 • dĺžka napájacieho kábla: 1,5 m 
 • ďalšie informácie: režim komfort a economy • senzor otvoreného okna 
 • napájanie: 220 - 240 V~ / 50 Hz 
 • rozmery: 54 x 44 x 9,45 cm 
 • hmotnosť: 5,81 kg</t>
        </is>
      </c>
    </row>
    <row r="1790">
      <c r="A1790" s="3" t="inlineStr">
        <is>
          <t>FKIR 270 WIFI</t>
        </is>
      </c>
      <c r="B1790" s="2" t="inlineStr">
        <is>
          <t>SMART infračervený ohrievač, 1000 w</t>
        </is>
      </c>
      <c r="C1790" s="1" t="n">
        <v>301.9</v>
      </c>
      <c r="D1790" s="7" t="n">
        <f>HYPERLINK("https://www.somogyi.sk/product/smart-infracerveny-ohrievac-1000-w-fkir-270-wifi-18066","https://www.somogyi.sk/product/smart-infracerveny-ohrievac-1000-w-fkir-270-wifi-18066")</f>
        <v>0.0</v>
      </c>
      <c r="E1790" s="7" t="n">
        <f>HYPERLINK("https://www.somogyi.sk/data/img/product_main_images/small/18066.jpg","https://www.somogyi.sk/data/img/product_main_images/small/18066.jpg")</f>
        <v>0.0</v>
      </c>
      <c r="F1790" s="2" t="inlineStr">
        <is>
          <t>5999084960889</t>
        </is>
      </c>
      <c r="G1790" s="4" t="inlineStr">
        <is>
          <t xml:space="preserve"> • stupne teploty: 1000 W 
 • displej: LED 
 • IP stupeň ochrany: IP20 
 • umiestnenie: vnútorný • stojanový (obývacia izba, spálňa) 
 • materiál: kovový kryt, kovové nohy 
 • termostat: digitálny termostat 
 • diaľkový ovládač: nie 
 • N/A: 0 °C - 37 °C 
 • vhodný aj do kúpeľne: nie 
 • časovač: 24 h časovač vypnutia(1 h jednotky) 
 • N/A: 15 m² 
 • ochrana proti prehriatiu: áno 
 • N/A: áno 
 • dĺžka napájacieho kábla: ∼16 cm 
 • charakteristiky: 270° uhol infračerveného žiarenia • povrchová teplota: ~90 °C 
 • ďalšie informácie: dotykové tlačidlo 
 • napájanie: 220-240 V~ / 50 Hz 
 • rozmery: 30 x 110 x 30 cm 
 • hmotnosť: 18 kg</t>
        </is>
      </c>
    </row>
    <row r="1791">
      <c r="A1791" s="3" t="inlineStr">
        <is>
          <t>FKA 70</t>
        </is>
      </c>
      <c r="B1791" s="2" t="inlineStr">
        <is>
          <t>Nástenný ohrievač prémium, max. 700 W</t>
        </is>
      </c>
      <c r="C1791" s="1" t="n">
        <v>116.9</v>
      </c>
      <c r="D1791" s="7" t="n">
        <f>HYPERLINK("https://www.somogyi.sk/product/nastenny-ohrievac-premium-max-700-w-fka-70-17755","https://www.somogyi.sk/product/nastenny-ohrievac-premium-max-700-w-fka-70-17755")</f>
        <v>0.0</v>
      </c>
      <c r="E1791" s="7" t="n">
        <f>HYPERLINK("https://www.somogyi.sk/data/img/product_main_images/small/17755.jpg","https://www.somogyi.sk/data/img/product_main_images/small/17755.jpg")</f>
        <v>0.0</v>
      </c>
      <c r="F1791" s="2" t="inlineStr">
        <is>
          <t>5999084957773</t>
        </is>
      </c>
      <c r="G1791" s="4" t="inlineStr">
        <is>
          <t xml:space="preserve"> • stupne teploty: menovitý 700 W 
 • displej: LCD 
 • umiestnenie: nástenný 
 • materiál: hliníková vyhrievacia vložka 
 • termostat: elektronický termostat 
 • N/A: 5 – 29 °C 
 • vhodný aj do kúpeľne: nie 
 • časovač: týždenný program 
 • N/A: 11 m² 
 • funkcia ochrany pred mrazom (+5 °C): áno 
 • ochrana proti prehriatiu: áno 
 • dĺžka napájacieho kábla: 1,5 m 
 • ďalšie informácie: režim komfort a economy • senzor otvoreného okna 
 • napájanie: 220 - 240 V~ / 50 Hz 
 • rozmery: 39 x 44 x 9,45 cm 
 • hmotnosť: 4,5 kg</t>
        </is>
      </c>
    </row>
    <row r="1792">
      <c r="A1792" s="3" t="inlineStr">
        <is>
          <t>FK 420 WIFI</t>
        </is>
      </c>
      <c r="B1792" s="2" t="inlineStr">
        <is>
          <t>Smart ohrievač</t>
        </is>
      </c>
      <c r="C1792" s="1" t="n">
        <v>127.9</v>
      </c>
      <c r="D1792" s="7" t="n">
        <f>HYPERLINK("https://www.somogyi.sk/product/smart-ohrievac-fk-420-wifi-16459","https://www.somogyi.sk/product/smart-ohrievac-fk-420-wifi-16459")</f>
        <v>0.0</v>
      </c>
      <c r="E1792" s="7" t="n">
        <f>HYPERLINK("https://www.somogyi.sk/data/img/product_main_images/small/16459.jpg","https://www.somogyi.sk/data/img/product_main_images/small/16459.jpg")</f>
        <v>0.0</v>
      </c>
      <c r="F1792" s="2" t="inlineStr">
        <is>
          <t>5999084944919</t>
        </is>
      </c>
      <c r="G1792" s="4" t="inlineStr">
        <is>
          <t xml:space="preserve"> • wifi: áno 
 • stupne teploty: 1000 W / 2000 W 
 • IP stupeň ochrany: IPX4 
 • umiestnenie: stojanový, nástenný 
 • materiál: kovová 
 • termostat: áno 
 • diaľkový ovládač: pomocou aplikácie cez WiFi 
 • N/A: 15 °C - 35 °C 
 • vhodný aj do kúpeľne: áno 
 • časovač: časovač vypnutia 
 • N/A: 30 m² 
 • dĺžka napájacieho kábla: 1,5 m 
 • ďalšie informácie: dotykové tlačidlá, detská zámka, tento výrobok je určený iba do dobre izolovaných priestorov alebo na príležitostné použitie! 
 • napájanie: 230 V~ / 50 Hz 
 • rozmery: s podstavcom:92 x 43 x 24 cm / montovaný na stenu: 92 x 38 x 9 cm 
 • hmotnosť: 6,7 kg</t>
        </is>
      </c>
    </row>
    <row r="1793">
      <c r="A1793" s="3" t="inlineStr">
        <is>
          <t>E219113</t>
        </is>
      </c>
      <c r="B1793" s="2" t="inlineStr">
        <is>
          <t>NOIROT, CALDERA 2 H 1000 BL</t>
        </is>
      </c>
      <c r="C1793" s="1" t="n">
        <v>537.9</v>
      </c>
      <c r="D1793" s="7" t="n">
        <f>HYPERLINK("https://www.somogyi.sk/product/noirot-caldera-2-h-1000-bl-e219113-18963","https://www.somogyi.sk/product/noirot-caldera-2-h-1000-bl-e219113-18963")</f>
        <v>0.0</v>
      </c>
      <c r="E1793" s="7" t="n">
        <f>HYPERLINK("https://www.somogyi.sk/data/img/product_main_images/small/18963.jpg","https://www.somogyi.sk/data/img/product_main_images/small/18963.jpg")</f>
        <v>0.0</v>
      </c>
      <c r="F1793" s="2" t="inlineStr">
        <is>
          <t>3465700056226</t>
        </is>
      </c>
      <c r="G1793" s="4" t="inlineStr">
        <is>
          <t xml:space="preserve"> • farba: biela 
 • N/A: vykurovacie teleso z hliníka a lávového kameňa 
 • stupne teploty: 1000 W 
 • displej: LCD 
 • IP stupeň ochrany: IP24 
 • umiestnenie: nástenný 
 • programovateľné: týždenný program: 3 prednastavené programy a 3 programy šité na mieru 
 • termostat: elektronický 
 • N/A: áno 
 • detská poistka: áno 
 • presnosť merania: presnosť 0,5 stupňa 
 • funkcie: senzor prítomnosti s funkciou automatického programovania 
 • N/A: 7 – 28 °C 
 • vhodný aj do kúpeľne: áno 
 • N/A: 15 m² 
 • za/vypínač: áno 
 • napájanie: 230 V~ / 50 Hz 
 • rozmery: 612 x 610 x 123 mm 
 • hmotnosť: 17,3 kg 
 • poznámka: možnosť uzamknutia PIN kódom</t>
        </is>
      </c>
    </row>
    <row r="1794">
      <c r="A1794" s="3" t="inlineStr">
        <is>
          <t>FK 430 WIFI</t>
        </is>
      </c>
      <c r="B1794" s="2" t="inlineStr">
        <is>
          <t>Smart ohrievač</t>
        </is>
      </c>
      <c r="C1794" s="1" t="n">
        <v>128.9</v>
      </c>
      <c r="D1794" s="7" t="n">
        <f>HYPERLINK("https://www.somogyi.sk/product/smart-ohrievac-fk-430-wifi-16460","https://www.somogyi.sk/product/smart-ohrievac-fk-430-wifi-16460")</f>
        <v>0.0</v>
      </c>
      <c r="E1794" s="7" t="n">
        <f>HYPERLINK("https://www.somogyi.sk/data/img/product_main_images/small/16460.jpg","https://www.somogyi.sk/data/img/product_main_images/small/16460.jpg")</f>
        <v>0.0</v>
      </c>
      <c r="F1794" s="2" t="inlineStr">
        <is>
          <t>5999084944926</t>
        </is>
      </c>
      <c r="G1794" s="4" t="inlineStr">
        <is>
          <t xml:space="preserve"> • wifi: áno 
 • stupne teploty: 1000 W / 2000 W 
 • IP stupeň ochrany: IPX4 
 • umiestnenie: stojanový, nástenný 
 • materiál: predný panel z kaleného skla 
 • termostat: áno 
 • diaľkový ovládač: pomocou aplikácie cez WiFi 
 • N/A: 15 °C - 35 °C 
 • vhodný aj do kúpeľne: áno 
 • časovač: časovač vypnutia 
 • N/A: 30 m² 
 • dĺžka napájacieho kábla: 1,5 m 
 • ďalšie informácie: dotykové tlačidlá, detská zámka, tento výrobok je určený iba do dobre izolovaných priestorov alebo na príležitostné použitie! 
 • napájanie: 230 V~ / 50 Hz 
 • rozmery: s podstavcom: 92 x 43 x 24 cm / montovaný na stenu: 92 x 38 x 9 cm 
 • hmotnosť: 8,2 kg</t>
        </is>
      </c>
    </row>
    <row r="1795">
      <c r="A1795" s="3" t="inlineStr">
        <is>
          <t>E223115</t>
        </is>
      </c>
      <c r="B1795" s="2" t="inlineStr">
        <is>
          <t>NOIROT, WALTER H 1500 BL</t>
        </is>
      </c>
      <c r="C1795" s="1" t="n">
        <v>659.9</v>
      </c>
      <c r="D1795" s="7" t="n">
        <f>HYPERLINK("https://www.somogyi.sk/product/noirot-walter-h-1500-bl-e223115-18967","https://www.somogyi.sk/product/noirot-walter-h-1500-bl-e223115-18967")</f>
        <v>0.0</v>
      </c>
      <c r="E1795" s="7" t="n">
        <f>HYPERLINK("https://www.somogyi.sk/data/img/product_main_images/small/18967.jpg","https://www.somogyi.sk/data/img/product_main_images/small/18967.jpg")</f>
        <v>0.0</v>
      </c>
      <c r="F1795" s="2" t="inlineStr">
        <is>
          <t>3465700056325</t>
        </is>
      </c>
      <c r="G1795" s="4" t="inlineStr">
        <is>
          <t xml:space="preserve"> • farba: biela 
 • stupne teploty: 1500 W 
 • displej: LCD 
 • IP stupeň ochrany: IP24 
 • umiestnenie: nástenné horizontálne umiestnenie 
 • programovateľné: týždenný program: 3 prednastavené programy a 3 programy šité na mieru 
 • termostat: elektronický 
 • N/A: áno 
 • detská poistka: áno 
 • funkcia: senzor prítomnosti 
 • vhodný aj do kúpeľne: áno 
 • N/A: 23 m² 
 • pamäť: 6-hodinová pamäť pre prípad výpadku prúdu 
 • za/vypínač: áno 
 • napájanie: 230 V~ / 50 Hz 
 • rozmery: 530 x 728 x 125 mm 
 • hmotnosť: 21,0 kg 
 • poznámka: možnosť uzamknutia PIN kódom</t>
        </is>
      </c>
    </row>
    <row r="1796">
      <c r="A1796" s="3" t="inlineStr">
        <is>
          <t>E222117</t>
        </is>
      </c>
      <c r="B1796" s="2" t="inlineStr">
        <is>
          <t>NOIROT, AMAROC H 2000 BL</t>
        </is>
      </c>
      <c r="C1796" s="1" t="n">
        <v>461.9</v>
      </c>
      <c r="D1796" s="7" t="n">
        <f>HYPERLINK("https://www.somogyi.sk/product/noirot-amaroc-h-2000-bl-e222117-18962","https://www.somogyi.sk/product/noirot-amaroc-h-2000-bl-e222117-18962")</f>
        <v>0.0</v>
      </c>
      <c r="E1796" s="7" t="n">
        <f>HYPERLINK("https://www.somogyi.sk/data/img/product_main_images/small/18962.jpg","https://www.somogyi.sk/data/img/product_main_images/small/18962.jpg")</f>
        <v>0.0</v>
      </c>
      <c r="F1796" s="2" t="inlineStr">
        <is>
          <t>3465700056271</t>
        </is>
      </c>
      <c r="G1796" s="4" t="inlineStr">
        <is>
          <t xml:space="preserve"> • farba: biela 
 • N/A: keramické vykurovacie teleso 
 • stupne teploty: 2000 W 
 • IP stupeň ochrany: IP24 
 • umiestnenie: nástenný 
 • programovateľné: týždenný program: 3 prednastavené programy a 3 programy šité na mieru 
 • termostat: elektronický 
 • N/A: áno 
 • detská poistka: áno 
 • presnosť merania: presnosť 0,5 stupňa 
 • vhodný aj do kúpeľne: áno 
 • N/A: 30 m² 
 • pamäť: 6-hodinová pamäť pre prípad výpadku prúdu 
 • funkcia ochrany pred mrazom (+5 °C): áno 
 • za/vypínač: áno 
 • napájanie: 230 V~ / 50 Hz 
 • rozmery: 585 x 910 x 112 mm 
 • hmotnosť: 21,9 kg 
 • poznámka: možnosť uzamknutia PIN kódom</t>
        </is>
      </c>
    </row>
    <row r="1797">
      <c r="A1797" s="3" t="inlineStr">
        <is>
          <t>E223117</t>
        </is>
      </c>
      <c r="B1797" s="2" t="inlineStr">
        <is>
          <t>NOIROT, WALTER H 2000 BL</t>
        </is>
      </c>
      <c r="C1797" s="1" t="n">
        <v>708.9</v>
      </c>
      <c r="D1797" s="7" t="n">
        <f>HYPERLINK("https://www.somogyi.sk/product/noirot-walter-h-2000-bl-e223117-18968","https://www.somogyi.sk/product/noirot-walter-h-2000-bl-e223117-18968")</f>
        <v>0.0</v>
      </c>
      <c r="E1797" s="7" t="n">
        <f>HYPERLINK("https://www.somogyi.sk/data/img/product_main_images/small/18968.jpg","https://www.somogyi.sk/data/img/product_main_images/small/18968.jpg")</f>
        <v>0.0</v>
      </c>
      <c r="F1797" s="2" t="inlineStr">
        <is>
          <t>3465700056332</t>
        </is>
      </c>
      <c r="G1797" s="4" t="inlineStr">
        <is>
          <t xml:space="preserve"> • farba: biela 
 • stupne teploty: 2000 W 
 • displej: LCD 
 • IP stupeň ochrany: N/IP24 
 • umiestnenie: nástenné horizontálne umiestnenie 
 • programovateľné: týždenný program: 3 prednastavené programy a 3 programy šité na mieru 
 • termostat: elektronický 
 • N/A: áno 
 • detská poistka: áno 
 • funkcia: senzor prítomnosti 
 • vhodný aj do kúpeľne: áno 
 • N/A: 30 m² 
 • pamäť: 6-hodinová pamäť pre prípad výpadku prúdu 
 • za/vypínač: áno 
 • napájanie: 230 V~ / 50 Hz 
 • rozmery: 530 x 728 x 125 mm 
 • hmotnosť: 21,0 kg 
 • poznámka: možnosť uzamknutia PIN kódom</t>
        </is>
      </c>
    </row>
    <row r="1798">
      <c r="A1798" s="3" t="inlineStr">
        <is>
          <t>E219117</t>
        </is>
      </c>
      <c r="B1798" s="2" t="inlineStr">
        <is>
          <t>NOIROT, CALDERA 2 H 2000 BL</t>
        </is>
      </c>
      <c r="C1798" s="1" t="n">
        <v>760.9</v>
      </c>
      <c r="D1798" s="7" t="n">
        <f>HYPERLINK("https://www.somogyi.sk/product/noirot-caldera-2-h-2000-bl-e219117-18965","https://www.somogyi.sk/product/noirot-caldera-2-h-2000-bl-e219117-18965")</f>
        <v>0.0</v>
      </c>
      <c r="E1798" s="7" t="n">
        <f>HYPERLINK("https://www.somogyi.sk/data/img/product_main_images/small/18965.jpg","https://www.somogyi.sk/data/img/product_main_images/small/18965.jpg")</f>
        <v>0.0</v>
      </c>
      <c r="F1798" s="2" t="inlineStr">
        <is>
          <t>3465700056240</t>
        </is>
      </c>
      <c r="G1798" s="4" t="inlineStr">
        <is>
          <t xml:space="preserve"> • farba: biela 
 • N/A: vykurovacie teleso z hliníka a lávového kameňa 
 • stupne teploty: 2000 W 
 • displej: LCD 
 • IP stupeň ochrany: IP24 
 • umiestnenie: nástenný 
 • programovateľné: týždenný program: 3 prednastavené programy a 3 programy šité na mieru 
 • termostat: elektronický 
 • N/A: áno 
 • detská poistka: áno 
 • presnosť merania: presnosť 0,5 stupňa 
 • funkcie: senzor prítomnosti s funkciou automatického programovania 
 • N/A: 7 – 28 °C 
 • vhodný aj do kúpeľne: áno 
 • N/A: 30 m² 
 • za/vypínač: áno 
 • napájanie: 230 V~ / 50 Hz 
 • rozmery: 612 x 1170 x 123 mm 
 • hmotnosť: 33,5 kg 
 • poznámka: možnosť uzamknutia PIN kódom</t>
        </is>
      </c>
    </row>
    <row r="1799">
      <c r="A1799" s="3" t="inlineStr">
        <is>
          <t>E222115</t>
        </is>
      </c>
      <c r="B1799" s="2" t="inlineStr">
        <is>
          <t>NOIROT, AMAROC H 1500 BL</t>
        </is>
      </c>
      <c r="C1799" s="1" t="n">
        <v>376.9</v>
      </c>
      <c r="D1799" s="7" t="n">
        <f>HYPERLINK("https://www.somogyi.sk/product/noirot-amaroc-h-1500-bl-e222115-18961","https://www.somogyi.sk/product/noirot-amaroc-h-1500-bl-e222115-18961")</f>
        <v>0.0</v>
      </c>
      <c r="E1799" s="7" t="n">
        <f>HYPERLINK("https://www.somogyi.sk/data/img/product_main_images/small/18961.jpg","https://www.somogyi.sk/data/img/product_main_images/small/18961.jpg")</f>
        <v>0.0</v>
      </c>
      <c r="F1799" s="2" t="inlineStr">
        <is>
          <t>3465700056264</t>
        </is>
      </c>
      <c r="G1799" s="4" t="inlineStr">
        <is>
          <t xml:space="preserve"> • farba: biela 
 • N/A: keramické vykurovacie teleso 
 • stupne teploty: 1500 W 
 • IP stupeň ochrany: IP24 
 • umiestnenie: nástenný 
 • programovateľné: týždenný program: 3 prednastavené programy a 3 programy šité na mieru 
 • termostat: elektronický 
 • N/A: áno 
 • detská poistka: áno 
 • presnosť merania: presnosť 0,5 stupňa 
 • vhodný aj do kúpeľne: áno 
 • N/A: 23 m² 
 • pamäť: 6-hodinová pamäť pre prípad výpadku prúdu 
 • funkcia ochrany pred mrazom (+5 °C): áno 
 • za/vypínač: áno 
 • napájanie: 230 V~ / 50 Hz 
 • rozmery: 585 x 750 x 112 mm 
 • hmotnosť: 17,2 kg 
 • poznámka: možnosť uzamknutia PIN kódom</t>
        </is>
      </c>
    </row>
    <row r="1800">
      <c r="A1800" s="3" t="inlineStr">
        <is>
          <t>E222113</t>
        </is>
      </c>
      <c r="B1800" s="2" t="inlineStr">
        <is>
          <t>NOIROT, AMAROC H 1000 BL</t>
        </is>
      </c>
      <c r="C1800" s="1" t="n">
        <v>303.9</v>
      </c>
      <c r="D1800" s="7" t="n">
        <f>HYPERLINK("https://www.somogyi.sk/product/noirot-amaroc-h-1000-bl-e222113-18960","https://www.somogyi.sk/product/noirot-amaroc-h-1000-bl-e222113-18960")</f>
        <v>0.0</v>
      </c>
      <c r="E1800" s="7" t="n">
        <f>HYPERLINK("https://www.somogyi.sk/data/img/product_main_images/small/18960.jpg","https://www.somogyi.sk/data/img/product_main_images/small/18960.jpg")</f>
        <v>0.0</v>
      </c>
      <c r="F1800" s="2" t="inlineStr">
        <is>
          <t>3465700056257</t>
        </is>
      </c>
      <c r="G1800" s="4" t="inlineStr">
        <is>
          <t xml:space="preserve"> • farba: biela 
 • N/A: keramické vykurovacie teleso 
 • stupne teploty: 1000 W 
 • displej: LCD 
 • IP stupeň ochrany: IP24 
 • umiestnenie: nástenný 
 • programovateľné: týždenný program: 3 prednastavené programy a 3 programy šité na mieru 
 • termostat: elektronický 
 • N/A: áno 
 • detská poistka: áno 
 • presnosť merania: presnosť 0,5 stupňa 
 • vhodný aj do kúpeľne: áno 
 • N/A: 15 m² 
 • pamäť: 6-hodinová pamäť pre prípad výpadku prúdu 
 • funkcia ochrany pred mrazom (+5 °C): áno 
 • za/vypínač: áno 
 • napájanie: 230 V~ / 50 Hz 
 • rozmery: 585 x 590 x 112 mm 
 • hmotnosť: 12,6 kg 
 • poznámka: možnosť uzamknutia PIN kódom</t>
        </is>
      </c>
    </row>
    <row r="1801">
      <c r="A1801" s="3" t="inlineStr">
        <is>
          <t>E211115</t>
        </is>
      </c>
      <c r="B1801" s="2" t="inlineStr">
        <is>
          <t>NOIROT, VERLYS 1500 BLY</t>
        </is>
      </c>
      <c r="C1801" s="1" t="n">
        <v>635.9</v>
      </c>
      <c r="D1801" s="7" t="n">
        <f>HYPERLINK("https://www.somogyi.sk/product/noirot-verlys-1500-bly-e211115-18970","https://www.somogyi.sk/product/noirot-verlys-1500-bly-e211115-18970")</f>
        <v>0.0</v>
      </c>
      <c r="E1801" s="7" t="n">
        <f>HYPERLINK("https://www.somogyi.sk/data/img/product_main_images/small/18970.jpg","https://www.somogyi.sk/data/img/product_main_images/small/18970.jpg")</f>
        <v>0.0</v>
      </c>
      <c r="F1801" s="2" t="inlineStr">
        <is>
          <t>3465700054734</t>
        </is>
      </c>
      <c r="G1801" s="4" t="inlineStr">
        <is>
          <t xml:space="preserve"> • farba: biela 
 • N/A: konvekčný a infračervený režim vykurovania 
 • stupne teploty: 1500 W 
 • displej: LCD 
 • IP stupeň ochrany: IP24 
 • umiestnenie: stojace, nástenné 
 • programovateľné: týždenný program: 3 prednastavené programy a 3 programy šité na mieru 
 • termostat: elektronický 
 • N/A: áno 
 • detská poistka: áno 
 • presnosť merania: 0,5 stupňová presnosť 
 • vhodný aj do kúpeľne: áno 
 • N/A: 23 m² 
 • pamäť: 6-hodinová pamäť pre prípad výpadku prúdu 
 • za/vypínač: áno 
 • charakteristiky: predný panel z tvrdeného skla s vyhrievacou fóliou 
 • ďalšie informácie: možnosť uzamknutia PIN kódom 
 • napájanie: 230 V~ / 50 Hz 
 • rozmery: 480 x 807 x 95 mm 
 • hmotnosť: 11,5 kg 
 • poznámka: pre použitie ako voľne stojaci ohrievač je potrebná súprava koliesok (sada koliesok Noirot A691600)</t>
        </is>
      </c>
    </row>
    <row r="1802">
      <c r="A1802" s="3" t="inlineStr">
        <is>
          <t>E219115</t>
        </is>
      </c>
      <c r="B1802" s="2" t="inlineStr">
        <is>
          <t>NOIROT, CALDERA 2 H 1500 BL</t>
        </is>
      </c>
      <c r="C1802" s="1" t="n">
        <v>667.9</v>
      </c>
      <c r="D1802" s="7" t="n">
        <f>HYPERLINK("https://www.somogyi.sk/product/noirot-caldera-2-h-1500-bl-e219115-18964","https://www.somogyi.sk/product/noirot-caldera-2-h-1500-bl-e219115-18964")</f>
        <v>0.0</v>
      </c>
      <c r="E1802" s="7" t="n">
        <f>HYPERLINK("https://www.somogyi.sk/data/img/product_main_images/small/18964.jpg","https://www.somogyi.sk/data/img/product_main_images/small/18964.jpg")</f>
        <v>0.0</v>
      </c>
      <c r="F1802" s="2" t="inlineStr">
        <is>
          <t>3465700056233</t>
        </is>
      </c>
      <c r="G1802" s="4" t="inlineStr">
        <is>
          <t xml:space="preserve"> • farba: biela 
 • N/A: vykurovacie teleso z hliníka a lávového kameňa 
 • stupne teploty: 1500 W 
 • displej: LCD 
 • IP stupeň ochrany: IP24 
 • umiestnenie: nástenný 
 • programovateľné: týždenný program: 3 prednastavené programy a 3 programy šité na mieru 
 • termostat: elektronický 
 • N/A: áno 
 • detská poistka: áno 
 • presnosť merania: presnosť 0,5 stupňa 
 • funkcie: senzor prítomnosti s funkciou automatického programovania 
 • N/A: 7 – 28 °C 
 • vhodný aj do kúpeľne: áno 
 • N/A: 23 m² 
 • za/vypínač: áno 
 • napájanie: 230 V~ / 50 Hz 
 • rozmery: 612 x 930 x 123 mm 
 • hmotnosť: 25,7 kg 
 • poznámka: možnosť uzamknutia PIN kódom</t>
        </is>
      </c>
    </row>
    <row r="1803">
      <c r="A1803" s="3" t="inlineStr">
        <is>
          <t>E211113</t>
        </is>
      </c>
      <c r="B1803" s="2" t="inlineStr">
        <is>
          <t>NOIROT, VERLYS 1000 BLY</t>
        </is>
      </c>
      <c r="C1803" s="1" t="n">
        <v>592.9</v>
      </c>
      <c r="D1803" s="7" t="n">
        <f>HYPERLINK("https://www.somogyi.sk/product/noirot-verlys-1000-bly-e211113-18969","https://www.somogyi.sk/product/noirot-verlys-1000-bly-e211113-18969")</f>
        <v>0.0</v>
      </c>
      <c r="E1803" s="7" t="n">
        <f>HYPERLINK("https://www.somogyi.sk/data/img/product_main_images/small/18969.jpg","https://www.somogyi.sk/data/img/product_main_images/small/18969.jpg")</f>
        <v>0.0</v>
      </c>
      <c r="F1803" s="2" t="inlineStr">
        <is>
          <t>3465700054727</t>
        </is>
      </c>
      <c r="G1803" s="4" t="inlineStr">
        <is>
          <t xml:space="preserve"> • farba: biela 
 • stupne teploty: 1000 W 
 • displej: LCD 
 • IP stupeň ochrany: IP24 
 • umiestnenie: stojace, nástenné 
 • programovateľné: týždenný program: 3 prednastavené programy a 3 programy šité na mieru 
 • termostat: elektronický 
 • N/A: áno 
 • detská poistka: áno 
 • presnosť merania: 0,5 stupňová presnosť 
 • vhodný aj do kúpeľne: áno 
 • N/A: 15 m² 
 • pamäť: 6-hodinová pamäť pre prípad výpadku prúdu 
 • za/vypínač: áno 
 • charakteristiky: predný panel z tvrdeného skla s vyhrievacou fóliou 
 • ďalšie informácie: možnosť uzamknutia PIN kódom 
 • napájanie: 230 V~ / 50 Hz 
 • rozmery: 480 x 600 x 95 mm 
 • hmotnosť: 8,5 kg 
 • poznámka: pre použitie ako voľne stojaci ohrievač je potrebná súprava koliesok (sada koliesok Noirot A691600)</t>
        </is>
      </c>
    </row>
    <row r="1804">
      <c r="A1804" s="3" t="inlineStr">
        <is>
          <t>E211117</t>
        </is>
      </c>
      <c r="B1804" s="2" t="inlineStr">
        <is>
          <t>NOIROT, VERLYS 2000 BLY</t>
        </is>
      </c>
      <c r="C1804" s="1" t="n">
        <v>711.9</v>
      </c>
      <c r="D1804" s="7" t="n">
        <f>HYPERLINK("https://www.somogyi.sk/product/noirot-verlys-2000-bly-e211117-18971","https://www.somogyi.sk/product/noirot-verlys-2000-bly-e211117-18971")</f>
        <v>0.0</v>
      </c>
      <c r="E1804" s="7" t="n">
        <f>HYPERLINK("https://www.somogyi.sk/data/img/product_main_images/small/18971.jpg","https://www.somogyi.sk/data/img/product_main_images/small/18971.jpg")</f>
        <v>0.0</v>
      </c>
      <c r="F1804" s="2" t="inlineStr">
        <is>
          <t>3465700054741</t>
        </is>
      </c>
      <c r="G1804" s="4" t="inlineStr">
        <is>
          <t xml:space="preserve"> • farba: biela 
 • N/A: konvekčný a infračervený režim vykurovania 
 • stupne teploty: 2000 W 
 • displej: LCD 
 • IP stupeň ochrany: IP24 
 • umiestnenie: stojace, nástenné 
 • programovateľné: týždenný program: 3 prednastavené programy a 3 programy šité na mieru 
 • termostat: elektronický 
 • N/A: áno 
 • detská poistka: áno 
 • presnosť merania: 0,5 stupňová presnosť 
 • vhodný aj do kúpeľne: áno 
 • N/A: 30 m² 
 • pamäť: 6-hodinová pamäť pre prípad výpadku prúdu 
 • za/vypínač: áno 
 • charakteristiky: predný panel z tvrdeného skla s vyhrievacou fóliou 
 • ďalšie informácie: možnosť uzamknutia PIN kódom 
 • napájanie: 230 V~ / 50 Hz 
 • rozmery: 480 x 1000 x 95 mm 
 • hmotnosť: 14,0 kg 
 • poznámka: pre použitie ako voľne stojaci ohrievač je potrebná súprava koliesok (sada koliesok Noirot A691600)</t>
        </is>
      </c>
    </row>
    <row r="1805">
      <c r="A1805" s="3" t="inlineStr">
        <is>
          <t>E211123</t>
        </is>
      </c>
      <c r="B1805" s="2" t="inlineStr">
        <is>
          <t>NOIROT, VERLYS 1000 NR</t>
        </is>
      </c>
      <c r="C1805" s="1" t="n">
        <v>568.9</v>
      </c>
      <c r="D1805" s="7" t="n">
        <f>HYPERLINK("https://www.somogyi.sk/product/noirot-verlys-1000-nr-e211123-18972","https://www.somogyi.sk/product/noirot-verlys-1000-nr-e211123-18972")</f>
        <v>0.0</v>
      </c>
      <c r="E1805" s="7" t="n">
        <f>HYPERLINK("https://www.somogyi.sk/data/img/product_main_images/small/18972.jpg","https://www.somogyi.sk/data/img/product_main_images/small/18972.jpg")</f>
        <v>0.0</v>
      </c>
      <c r="F1805" s="2" t="inlineStr">
        <is>
          <t>3465700054758</t>
        </is>
      </c>
      <c r="G1805" s="4" t="inlineStr">
        <is>
          <t xml:space="preserve"> • farba: antracitová 
 • N/A: konvekčný a infračervený režim vykurovania 
 • stupne teploty: 1000 W 
 • IP stupeň ochrany: IP24 
 • umiestnenie: stojace, nástenné 
 • programovateľné: týždenný program: 3 prednastavené programy a 3 programy šité na mieru 
 • termostat: elektronický 
 • N/A: áno 
 • detská poistka: áno 
 • presnosť merania: 0,5 stupňová presnosť 
 • vhodný aj do kúpeľne: áno 
 • N/A: 15 m² 
 • pamäť: 6-hodinová pamäť pre prípad výpadku prúdu 
 • za/vypínač: áno 
 • charakteristiky: predný panel z tvrdeného skla s vyhrievacou fóliou 
 • ďalšie informácie: možnosť uzamknutia PIN kódom 
 • napájanie: 230 V~ / 50 Hz 
 • rozmery: 480 x 600 x 95 mm 
 • hmotnosť: 8,5 kg 
 • poznámka: pre použitie ako voľne stojaci ohrievač je potrebná súprava koliesok (sada koliesok Noirot A691600)</t>
        </is>
      </c>
    </row>
    <row r="1806">
      <c r="A1806" s="3" t="inlineStr">
        <is>
          <t>FK421WIFI</t>
        </is>
      </c>
      <c r="B1806" s="2" t="inlineStr">
        <is>
          <t>Smart konvektorový ohrievač, nástenný / prenosný, 2000 W</t>
        </is>
      </c>
      <c r="C1806" s="1" t="n">
        <v>118.9</v>
      </c>
      <c r="D1806" s="7" t="n">
        <f>HYPERLINK("https://www.somogyi.sk/product/smart-konvektorovy-ohrievac-nastenny-prenosny-2000-w-fk421wifi-18581","https://www.somogyi.sk/product/smart-konvektorovy-ohrievac-nastenny-prenosny-2000-w-fk421wifi-18581")</f>
        <v>0.0</v>
      </c>
      <c r="E1806" s="7" t="n">
        <f>HYPERLINK("https://www.somogyi.sk/data/img/product_main_images/small/18581.jpg","https://www.somogyi.sk/data/img/product_main_images/small/18581.jpg")</f>
        <v>0.0</v>
      </c>
      <c r="F1806" s="2" t="inlineStr">
        <is>
          <t>5999084965990</t>
        </is>
      </c>
      <c r="G1806" s="4" t="inlineStr">
        <is>
          <t xml:space="preserve"> • wifi: áno 
 • farba: biela farba 
 • stupne teploty: 2000 W 
 • displej: LED 
 • IP stupeň ochrany: IPX4 
 • umiestnenie: stojanový, nástenný 
 • materiál: lakovaná oceľ 
 • termostat: elektronický 
 • diaľkový ovládač: s aplikáciou cez WIFI pripojenie 
 • N/A: 5-35°C 
 • vhodný aj do kúpeľne: áno 
 • časovač: 24 h časovač vypnutia (jednotky po 1 h) 
 • N/A: 30 m² 
 • funkcia ochrany pred mrazom (+5 °C): áno 
 • ochrana proti prehriatiu: áno 
 • charakteristiky: detekcia otvorenia okna 
 • ďalšie informácie: týždenný program (v aplikácii Tuya Smart) 
 • napájanie: 230 V~ / 50 Hz 
 • rozmery: 87 x 43,5 x 22 cm 
 • hmotnosť: 5,7 kg 
 • príslušenstvo: skrutky, hmoždinky pre upevnenie na stenu</t>
        </is>
      </c>
    </row>
    <row r="1807">
      <c r="A1807" s="3" t="inlineStr">
        <is>
          <t>FKIR 701 WIFI</t>
        </is>
      </c>
      <c r="B1807" s="2" t="inlineStr">
        <is>
          <t>Hybridný infra ohrievač, 700 W</t>
        </is>
      </c>
      <c r="C1807" s="1" t="n">
        <v>170.9</v>
      </c>
      <c r="D1807" s="7" t="n">
        <f>HYPERLINK("https://www.somogyi.sk/product/hybridny-infra-ohrievac-700-w-fkir-701-wifi-17342","https://www.somogyi.sk/product/hybridny-infra-ohrievac-700-w-fkir-701-wifi-17342")</f>
        <v>0.0</v>
      </c>
      <c r="E1807" s="7" t="n">
        <f>HYPERLINK("https://www.somogyi.sk/data/img/product_main_images/small/17342.jpg","https://www.somogyi.sk/data/img/product_main_images/small/17342.jpg")</f>
        <v>0.0</v>
      </c>
      <c r="F1807" s="2" t="inlineStr">
        <is>
          <t>5999084953645</t>
        </is>
      </c>
      <c r="G1807" s="4" t="inlineStr">
        <is>
          <t xml:space="preserve"> • wifi: áno (prevádzková frekvencia: 2,4 GHz) 
 • stupne teploty: 700 W 
 • displej: LCD 
 • IP stupeň ochrany: IP20 
 • umiestnenie: nástenný 
 • termostat: elektronický termostat 
 • N/A: 0 °C - 37 °C 
 • vhodný aj do kúpeľne: nie 
 • časovač: áno 
 • N/A: 10 m² 
 • ochrana proti prehriatiu: áno 
 • dĺžka napájacieho kábla: 1,6 m 
 • ďalšie informácie: funkcia senzora otvorenia okna 
 • napájanie: 230 V~ / 50 Hz 
 • rozmery: 120 x 50 x 5,5 cm 
 • hmotnosť: 3,1 kg 
 • príslušenstvo: hmoždinky, skrutky</t>
        </is>
      </c>
    </row>
    <row r="1808">
      <c r="A1808" s="3" t="inlineStr">
        <is>
          <t>FKA 200</t>
        </is>
      </c>
      <c r="B1808" s="2" t="inlineStr">
        <is>
          <t>Nástenný ohrievač prémium, max. 2000 W</t>
        </is>
      </c>
      <c r="C1808" s="1" t="n">
        <v>187.9</v>
      </c>
      <c r="D1808" s="7" t="n">
        <f>HYPERLINK("https://www.somogyi.sk/product/nastenny-ohrievac-premium-max-2000-w-fka-200-17757","https://www.somogyi.sk/product/nastenny-ohrievac-premium-max-2000-w-fka-200-17757")</f>
        <v>0.0</v>
      </c>
      <c r="E1808" s="7" t="n">
        <f>HYPERLINK("https://www.somogyi.sk/data/img/product_main_images/small/17757.jpg","https://www.somogyi.sk/data/img/product_main_images/small/17757.jpg")</f>
        <v>0.0</v>
      </c>
      <c r="F1808" s="2" t="inlineStr">
        <is>
          <t>5999084957797</t>
        </is>
      </c>
      <c r="G1808" s="4" t="inlineStr">
        <is>
          <t xml:space="preserve"> • stupne teploty: menovitý 2000 W 
 • displej: LCD 
 • umiestnenie: nástenný 
 • materiál: hliníková vyhrievacia vložka 
 • termostat: elektronický termostat 
 • N/A: 5 – 29 °C 
 • vhodný aj do kúpeľne: nie 
 • časovač: týždenný program 
 • N/A: 30 m² 
 • funkcia ochrany pred mrazom (+5 °C): áno 
 • ochrana proti prehriatiu: áno 
 • dĺžka napájacieho kábla: 1,5 m 
 • ďalšie informácie: režim komfort a economy • senzor otvoreného okna 
 • napájanie: 220 - 240 V~ / 50 Hz 
 • rozmery: 84 x 44 x 9,45 cm 
 • hmotnosť: 7,5 kg</t>
        </is>
      </c>
    </row>
    <row r="1809">
      <c r="A1809" s="3" t="inlineStr">
        <is>
          <t>FKIR 351 WIFI</t>
        </is>
      </c>
      <c r="B1809" s="2" t="inlineStr">
        <is>
          <t>Hybridný infra ohrievač, 350 W</t>
        </is>
      </c>
      <c r="C1809" s="1" t="n">
        <v>127.9</v>
      </c>
      <c r="D1809" s="7" t="n">
        <f>HYPERLINK("https://www.somogyi.sk/product/hybridny-infra-ohrievac-350-w-fkir-351-wifi-17341","https://www.somogyi.sk/product/hybridny-infra-ohrievac-350-w-fkir-351-wifi-17341")</f>
        <v>0.0</v>
      </c>
      <c r="E1809" s="7" t="n">
        <f>HYPERLINK("https://www.somogyi.sk/data/img/product_main_images/small/17341.jpg","https://www.somogyi.sk/data/img/product_main_images/small/17341.jpg")</f>
        <v>0.0</v>
      </c>
      <c r="F1809" s="2" t="inlineStr">
        <is>
          <t>5999084953638</t>
        </is>
      </c>
      <c r="G1809" s="4" t="inlineStr">
        <is>
          <t xml:space="preserve"> • wifi: áno (prevádzková frekvencia: 2,4 GHz) 
 • stupne teploty: 350 W 
 • displej: LCD 
 • IP stupeň ochrany: IP20 
 • umiestnenie: nástenný 
 • termostat: elektronický termostat 
 • N/A: 0 °C - 37 °C 
 • vhodný aj do kúpeľne: nie 
 • časovač: áno 
 • N/A: 5 m² 
 • ochrana proti prehriatiu: áno 
 • dĺžka napájacieho kábla: 1,6 m 
 • ďalšie informácie: funkcia senzora otvorenia okna 
 • napájanie: 230 V~ / 50 Hz 
 • rozmery: 50 x 60 x 5,5 cm 
 • hmotnosť: 2 kg 
 • príslušenstvo: hmoždinky, skrutky</t>
        </is>
      </c>
    </row>
    <row r="1810">
      <c r="A1810" s="3" t="inlineStr">
        <is>
          <t>FK415WIFI</t>
        </is>
      </c>
      <c r="B1810" s="2" t="inlineStr">
        <is>
          <t>Smart konvektorový ohrievač, nástenný / prenosný, 1500 W</t>
        </is>
      </c>
      <c r="C1810" s="1" t="n">
        <v>106.9</v>
      </c>
      <c r="D1810" s="7" t="n">
        <f>HYPERLINK("https://www.somogyi.sk/product/smart-konvektorovy-ohrievac-nastenny-prenosny-1500-w-fk415wifi-18580","https://www.somogyi.sk/product/smart-konvektorovy-ohrievac-nastenny-prenosny-1500-w-fk415wifi-18580")</f>
        <v>0.0</v>
      </c>
      <c r="E1810" s="7" t="n">
        <f>HYPERLINK("https://www.somogyi.sk/data/img/product_main_images/small/18580.jpg","https://www.somogyi.sk/data/img/product_main_images/small/18580.jpg")</f>
        <v>0.0</v>
      </c>
      <c r="F1810" s="2" t="inlineStr">
        <is>
          <t>5999084965983</t>
        </is>
      </c>
      <c r="G1810" s="4" t="inlineStr">
        <is>
          <t xml:space="preserve"> • wifi: áno (2,4 GHz (2,401 – 2,483 GHz) &lt;1 mW) 
 • farba: biela farba 
 • stupne teploty: 1500 W 
 • displej: LED 
 • IP stupeň ochrany: IPX4 
 •  
 • materiál: maľovaný oceľ 
 • termostat: elektronický 
 • diaľkový ovládač: s aplikáciou cez WIFI pripojenie 
 • N/A: 5-35°C 
 • vhodný aj do kúpeľne: áno 
 • časovač: 24 h časovač vypnutia (1 h jednotky) 
 • N/A: 23 m² 
 • funkcia ochrany pred mrazom (+5 °C): áno 
 • ochrana proti prehriatiu: áno 
 • charakteristiky: detekcia otvorenia okna 
 • ďalšie informácie: týždenný program (v aplikácii Tuya Smart) 
 • napájanie: 230 V~ / 50 Hz 
 • rozmery: 70 x 43,5 x 22 cm 
 • hmotnosť: 4,4 kg 
 • príslušenstvo: skrutky, hmoždinky na upevnenie na stenu</t>
        </is>
      </c>
    </row>
    <row r="1811">
      <c r="A1811" s="3" t="inlineStr">
        <is>
          <t>FK210WIFI</t>
        </is>
      </c>
      <c r="B1811" s="2" t="inlineStr">
        <is>
          <t>Smart konvektorový ohrievač, nástenný/prenosný, 1000 W</t>
        </is>
      </c>
      <c r="C1811" s="1" t="n">
        <v>92.99</v>
      </c>
      <c r="D1811" s="7" t="n">
        <f>HYPERLINK("https://www.somogyi.sk/product/smart-konvektorovy-ohrievac-nastenny-prenosny-1000-w-fk210wifi-18579","https://www.somogyi.sk/product/smart-konvektorovy-ohrievac-nastenny-prenosny-1000-w-fk210wifi-18579")</f>
        <v>0.0</v>
      </c>
      <c r="E1811" s="7" t="n">
        <f>HYPERLINK("https://www.somogyi.sk/data/img/product_main_images/small/18579.jpg","https://www.somogyi.sk/data/img/product_main_images/small/18579.jpg")</f>
        <v>0.0</v>
      </c>
      <c r="F1811" s="2" t="inlineStr">
        <is>
          <t>5999084965976</t>
        </is>
      </c>
      <c r="G1811" s="4" t="inlineStr">
        <is>
          <t xml:space="preserve"> • wifi: áno (2,4 GHz (2,401 – 2,483 GHz) &lt;1 mW) 
 • farba: biela farba 
 • stupne teploty: 1000 W 
 • displej: LED 
 • IP stupeň ochrany: IPX4 
 •  
 • materiál: maľovaný oceľ 
 • termostat: elektronický 
 • diaľkový ovládač: s aplikáciou cez WiFi pripojenie 
 • N/A: 5-35°C 
 • vhodný aj do kúpeľne: áno 
 • časovač: 24 h časovač vypnutia (1 h jednotky) 
 • N/A: 15 m² 
 • funkcia ochrany pred mrazom (+5 °C): áno 
 • ochrana proti prehriatiu: áno 
 • charakteristiky: senzor otvorenia okna 
 • ďalšie informácie: týždenný program (v aplikácii Tuya Smart) 
 • napájanie: 230 V~ / 50 Hz 
 • rozmery: 99 x 23,5 x 22 cm (rozmery s podstavcami) 
 • hmotnosť: 3,3 kg 
 • príslušenstvo: skrutky, hmoždinky na upevnenie na stenu</t>
        </is>
      </c>
    </row>
    <row r="1812">
      <c r="A1812" s="3" t="inlineStr">
        <is>
          <t>FMC 2000</t>
        </is>
      </c>
      <c r="B1812" s="2" t="inlineStr">
        <is>
          <t>MICA konvektor s diaľ. ovládačom, 2000 W</t>
        </is>
      </c>
      <c r="C1812" s="1" t="n">
        <v>76.39</v>
      </c>
      <c r="D1812" s="7" t="n">
        <f>HYPERLINK("https://www.somogyi.sk/product/mica-konvektor-s-dial-ovladacom-2000-w-fmc-2000-18063","https://www.somogyi.sk/product/mica-konvektor-s-dial-ovladacom-2000-w-fmc-2000-18063")</f>
        <v>0.0</v>
      </c>
      <c r="E1812" s="7" t="n">
        <f>HYPERLINK("https://www.somogyi.sk/data/img/product_main_images/small/18063.jpg","https://www.somogyi.sk/data/img/product_main_images/small/18063.jpg")</f>
        <v>0.0</v>
      </c>
      <c r="F1812" s="2" t="inlineStr">
        <is>
          <t>5999084960858</t>
        </is>
      </c>
      <c r="G1812" s="4" t="inlineStr">
        <is>
          <t xml:space="preserve"> • stupne teploty: 2 stupne ohrievania: 1000 W / 2000 W 
 • displej: LED 
 • IP stupeň ochrany: IP20 
 • umiestnenie: vnútorný (obývacia izba, spálňa) 
 • termostat: digitálny termostat 
 • diaľkový ovládač: áno 
 • N/A: 18 °C - 30 °C 
 • vhodný aj do kúpeľne: nie 
 • časovač: 12 h časovač vypnutia (0,5 h jednotky) 
 • N/A: 30 m² 
 • ochrana proti prehriatiu: áno 
 • N/A: áno 
 • hlučnosť: tichá prevádzka 
 •  
 • napájanie: 220-240 V~ / 50 Hz • napájanie diaľ. ovládača: 1 x 3 V(CR2025) gombíková batéria, je príslušenstvom 
 • rozmery: 540 x 620 x 265 (80) mm 
 • hmotnosť: 5,1 kg</t>
        </is>
      </c>
    </row>
    <row r="1813">
      <c r="A1813" s="3" t="inlineStr">
        <is>
          <t>E176111</t>
        </is>
      </c>
      <c r="B1813" s="2" t="inlineStr">
        <is>
          <t>NOIROT, SPOT DESIGN 500 BL</t>
        </is>
      </c>
      <c r="C1813" s="1" t="n">
        <v>141.9</v>
      </c>
      <c r="D1813" s="7" t="n">
        <f>HYPERLINK("https://www.somogyi.sk/product/noirot-spot-design-500-bl-e176111-18943","https://www.somogyi.sk/product/noirot-spot-design-500-bl-e176111-18943")</f>
        <v>0.0</v>
      </c>
      <c r="E1813" s="7" t="n">
        <f>HYPERLINK("https://www.somogyi.sk/data/img/product_main_images/small/18943.jpg","https://www.somogyi.sk/data/img/product_main_images/small/18943.jpg")</f>
        <v>0.0</v>
      </c>
      <c r="F1813" s="2" t="inlineStr">
        <is>
          <t>3465700054062</t>
        </is>
      </c>
      <c r="G1813" s="4" t="inlineStr">
        <is>
          <t xml:space="preserve"> • farba: biela 
 • N/A: hliníkové vykurovacie teleso 
 • stupne teploty: 500 W 
 • displej: LCD 
 • IP stupeň ochrany: IP24 
 • umiestnenie: nástenné, voľne stojace 
 • programovateľné: týždenný program: 3 prednastavené programy a 3 programy šité na mieru 
 • termostat: elektronický 
 • N/A: áno 
 • detská poistka: áno 
 • vhodný aj do kúpeľne: áno 
 • N/A: 8 m² 
 • za/vypínač: áno 
 • napájanie: 230 V~ / 50 Hz 
 • rozmery: 440 x 340 x 104 mm 
 • hmotnosť: 2,7 kg 
 • poznámka: pre použitie ako voľne stojaci ohrievač je potrebná súprava koliesok (sada koliesok Noirot A691600)</t>
        </is>
      </c>
    </row>
    <row r="1814">
      <c r="A1814" s="3" t="inlineStr">
        <is>
          <t>FK 330</t>
        </is>
      </c>
      <c r="B1814" s="2" t="inlineStr">
        <is>
          <t>Elektrický konvektor</t>
        </is>
      </c>
      <c r="C1814" s="1" t="n">
        <v>30.99</v>
      </c>
      <c r="D1814" s="7" t="n">
        <f>HYPERLINK("https://www.somogyi.sk/product/elektricky-konvektor-fk-330-15971","https://www.somogyi.sk/product/elektricky-konvektor-fk-330-15971")</f>
        <v>0.0</v>
      </c>
      <c r="E1814" s="7" t="n">
        <f>HYPERLINK("https://www.somogyi.sk/data/img/product_main_images/small/15971.jpg","https://www.somogyi.sk/data/img/product_main_images/small/15971.jpg")</f>
        <v>0.0</v>
      </c>
      <c r="F1814" s="2" t="inlineStr">
        <is>
          <t>5999084940058</t>
        </is>
      </c>
      <c r="G1814" s="4" t="inlineStr">
        <is>
          <t xml:space="preserve"> • stupne teploty: 750 W / 1250 W / 2000 W 
 • umiestnenie: stojanový 
 • termostat: áno 
 • vhodný aj do kúpeľne: nie 
 • N/A: 30 m² 
 • dĺžka napájacieho kábla: 1,6 m 
 • ďalšie informácie: Výrobok je určený výlučne na vykurovanie dobre izolovaných miestností alebo na príležitostné používanie! 
 • napájanie: 230 V~ / 50 Hz 
 • rozmery: 53 x 38 x 20 cm 
 • hmotnosť: 1,9 kg</t>
        </is>
      </c>
    </row>
    <row r="1815">
      <c r="A1815" s="3" t="inlineStr">
        <is>
          <t>E176113</t>
        </is>
      </c>
      <c r="B1815" s="2" t="inlineStr">
        <is>
          <t>NOIROT, SPOT DESIGN 1000 BL</t>
        </is>
      </c>
      <c r="C1815" s="1" t="n">
        <v>146.9</v>
      </c>
      <c r="D1815" s="7" t="n">
        <f>HYPERLINK("https://www.somogyi.sk/product/noirot-spot-design-1000-bl-e176113-18944","https://www.somogyi.sk/product/noirot-spot-design-1000-bl-e176113-18944")</f>
        <v>0.0</v>
      </c>
      <c r="E1815" s="7" t="n">
        <f>HYPERLINK("https://www.somogyi.sk/data/img/product_main_images/small/18944.jpg","https://www.somogyi.sk/data/img/product_main_images/small/18944.jpg")</f>
        <v>0.0</v>
      </c>
      <c r="F1815" s="2" t="inlineStr">
        <is>
          <t>3465700054079</t>
        </is>
      </c>
      <c r="G1815" s="4" t="inlineStr">
        <is>
          <t xml:space="preserve"> • farba: biela 
 • N/A: hliníkové vykurovacie teleso 
 • stupne teploty: 1000 W 
 • displej: LCD 
 • IP stupeň ochrany: IP24 
 • umiestnenie: nástenné, voľne stojace 
 • programovateľné: týždenný program: 3 prednastavené programy a 3 programy šité na mieru 
 • termostat: elektronický 
 • N/A: áno 
 • detská poistka: áno 
 • vhodný aj do kúpeľne: áno 
 • N/A: 15 m² 
 • za/vypínač: áno 
 • napájanie: 230 V~ / 50 Hz 
 • rozmery: 440 x 420 x 104 mm 
 • hmotnosť: 3,3 kg 
 • poznámka: pre použitie ako voľne stojaci ohrievač je potrebná súprava koliesok (sada koliesok Noirot A691600)</t>
        </is>
      </c>
    </row>
    <row r="1816">
      <c r="A1816" s="3" t="inlineStr">
        <is>
          <t>FK345TURBO</t>
        </is>
      </c>
      <c r="B1816" s="2" t="inlineStr">
        <is>
          <t>Konvektorový ohrievač s ventilátorom, 2000 W</t>
        </is>
      </c>
      <c r="C1816" s="1" t="n">
        <v>49.89</v>
      </c>
      <c r="D1816" s="7" t="n">
        <f>HYPERLINK("https://www.somogyi.sk/product/konvektorovy-ohrievac-s-ventilatorom-2000-w-fk345turbo-18478","https://www.somogyi.sk/product/konvektorovy-ohrievac-s-ventilatorom-2000-w-fk345turbo-18478")</f>
        <v>0.0</v>
      </c>
      <c r="E1816" s="7" t="n">
        <f>HYPERLINK("https://www.somogyi.sk/data/img/product_main_images/small/18478.jpg","https://www.somogyi.sk/data/img/product_main_images/small/18478.jpg")</f>
        <v>0.0</v>
      </c>
      <c r="F1816" s="2" t="inlineStr">
        <is>
          <t>5999084964962</t>
        </is>
      </c>
      <c r="G1816" s="4" t="inlineStr">
        <is>
          <t xml:space="preserve"> • stupne teploty: 1250 W / 2000 W 
 • IP stupeň ochrany: IP20 
 • umiestnenie: stojanový 
 • termostat: áno 
 • vhodný aj do kúpeľne: nie 
 • N/A: 30 m² 
 • zabudovaný ventilátor: áno 
 • ochrana proti prehriatiu: áno 
 • napájanie: 230 V~ / 50 Hz 
 • rozmery: 57 x 32,5 x 20,5 cm 
 • hmotnosť: 3,2 kg</t>
        </is>
      </c>
    </row>
    <row r="1817">
      <c r="A1817" s="3" t="inlineStr">
        <is>
          <t>FMC 1500</t>
        </is>
      </c>
      <c r="B1817" s="2" t="inlineStr">
        <is>
          <t>MICA konvektor s diaľ. ovládačom, 1500 W</t>
        </is>
      </c>
      <c r="C1817" s="1" t="n">
        <v>59.49</v>
      </c>
      <c r="D1817" s="7" t="n">
        <f>HYPERLINK("https://www.somogyi.sk/product/mica-konvektor-s-dial-ovladacom-1500-w-fmc-1500-18062","https://www.somogyi.sk/product/mica-konvektor-s-dial-ovladacom-1500-w-fmc-1500-18062")</f>
        <v>0.0</v>
      </c>
      <c r="E1817" s="7" t="n">
        <f>HYPERLINK("https://www.somogyi.sk/data/img/product_main_images/small/18062.jpg","https://www.somogyi.sk/data/img/product_main_images/small/18062.jpg")</f>
        <v>0.0</v>
      </c>
      <c r="F1817" s="2" t="inlineStr">
        <is>
          <t>5999084960841</t>
        </is>
      </c>
      <c r="G1817" s="4" t="inlineStr">
        <is>
          <t xml:space="preserve"> • stupne teploty: 2 stupne ohrievania: 1000 W / 1500 W 
 • displej: LED 
 • IP stupeň ochrany: IP20 
 • umiestnenie: vnútorný (obývacia izba, spálňa) 
 • termostat: digitálny termostat 
 • diaľkový ovládač: áno 
 • N/A: 0 °C - 37 °C 
 • vhodný aj do kúpeľne: nie 
 • časovač: 12 h časovač vypnutia (0,5 hodinové jednotky) 
 • N/A: 30 m² 
 • ochrana proti prehriatiu: áno 
 • N/A: áno 
 • hlučnosť: tichá prevádzka 
 •  
 • napájanie: 220-240 V~ / 50 Hz • diaľkový ovládač: 1 x 3 V(CR2025) gombíková batéria, je príslušenstvom 
 • rozmery: 450 x 62 x2 65 (80) mm 
 • hmotnosť: 4,5 kg</t>
        </is>
      </c>
    </row>
    <row r="1818">
      <c r="A1818" s="3" t="inlineStr">
        <is>
          <t>E211127</t>
        </is>
      </c>
      <c r="B1818" s="2" t="inlineStr">
        <is>
          <t>NOIROT, VERLYS 2000 NR</t>
        </is>
      </c>
      <c r="C1818" s="1" t="n">
        <v>671.9</v>
      </c>
      <c r="D1818" s="7" t="n">
        <f>HYPERLINK("https://www.somogyi.sk/product/noirot-verlys-2000-nr-e211127-18974","https://www.somogyi.sk/product/noirot-verlys-2000-nr-e211127-18974")</f>
        <v>0.0</v>
      </c>
      <c r="E1818" s="7" t="n">
        <f>HYPERLINK("https://www.somogyi.sk/data/img/product_main_images/small/18974.jpg","https://www.somogyi.sk/data/img/product_main_images/small/18974.jpg")</f>
        <v>0.0</v>
      </c>
      <c r="F1818" s="2" t="inlineStr">
        <is>
          <t>3465700054772</t>
        </is>
      </c>
      <c r="G1818" s="4" t="inlineStr">
        <is>
          <t xml:space="preserve"> • farba: antracitová 
 • N/A: konvekčný a infračervený režim vykurovania 
 • stupne teploty: 2000 W 
 • displej: LCD 
 • IP stupeň ochrany: IP24 
 • umiestnenie: stojace, nástenné 
 • programovateľné: týždenný program: 3 prednastavené programy a 3 programy šité na mieru 
 • termostat: elektronický 
 • N/A: áno 
 • detská poistka: áno 
 • presnosť merania: 0,5 stupňová presnosť 
 • vhodný aj do kúpeľne: áno 
 • N/A: 30 m² 
 • pamäť: 6-hodinová pamäť pre prípad výpadku prúdu 
 • za/vypínač: áno 
 • charakteristiky: predný panel z tvrdeného skla s vyhrievacou fóliou 
 • ďalšie informácie: možnosť uzamknutia PIN kódom 
 • napájanie: 230 V~ / 50 Hz 
 • rozmery: 480 x 1000 x 95 mm 
 • hmotnosť: 14,0 kg 
 • poznámka: pre použitie ako voľne stojaci ohrievač je potrebná súprava koliesok (sada koliesok Noirot A691600)</t>
        </is>
      </c>
    </row>
    <row r="1819">
      <c r="A1819" s="3" t="inlineStr">
        <is>
          <t>E223113</t>
        </is>
      </c>
      <c r="B1819" s="2" t="inlineStr">
        <is>
          <t>NOIROT, WALTER H 1000 BL</t>
        </is>
      </c>
      <c r="C1819" s="1" t="n">
        <v>511.9</v>
      </c>
      <c r="D1819" s="7" t="n">
        <f>HYPERLINK("https://www.somogyi.sk/product/noirot-walter-h-1000-bl-e223113-18966","https://www.somogyi.sk/product/noirot-walter-h-1000-bl-e223113-18966")</f>
        <v>0.0</v>
      </c>
      <c r="E1819" s="7" t="n">
        <f>HYPERLINK("https://www.somogyi.sk/data/img/product_main_images/small/18966.jpg","https://www.somogyi.sk/data/img/product_main_images/small/18966.jpg")</f>
        <v>0.0</v>
      </c>
      <c r="F1819" s="2" t="inlineStr">
        <is>
          <t>3465700056318</t>
        </is>
      </c>
      <c r="G1819" s="4" t="inlineStr">
        <is>
          <t xml:space="preserve"> • farba: biela 
 • stupne teploty: 1500 W 
 • displej: LCD 
 • IP stupeň ochrany: IP24 
 • umiestnenie: nástenný 
 • programovateľné: týždenný program: 3 prednastavené programy a 3 programy šité na mieru 
 • termostat: elektronický 
 • N/A: áno 
 • detská poistka: áno 
 • funkcia: senzor prítomnosti 
 • vhodný aj do kúpeľne: IP24 
 • N/A: 15 m² 
 • pamäť: 6-hodinová pamäť pre prípad výpadku prúdu 
 • za/vypínač: áno 
 • napájanie: 230 V~ / 50 Hz 
 • rozmery: 530 x 440 x 125 mm 
 • hmotnosť: 12,0 kg 
 • poznámka: možnosť uzamknutia PIN kódom</t>
        </is>
      </c>
    </row>
    <row r="1820">
      <c r="A1820" s="3" t="inlineStr">
        <is>
          <t>E179118</t>
        </is>
      </c>
      <c r="B1820" s="2" t="inlineStr">
        <is>
          <t>NOIROT, SPOT WIFI 2500 BL</t>
        </is>
      </c>
      <c r="C1820" s="1" t="n">
        <v>289.9</v>
      </c>
      <c r="D1820" s="7" t="n">
        <f>HYPERLINK("https://www.somogyi.sk/product/noirot-spot-wifi-2500-bl-e179118-18952","https://www.somogyi.sk/product/noirot-spot-wifi-2500-bl-e179118-18952")</f>
        <v>0.0</v>
      </c>
      <c r="E1820" s="7" t="n">
        <f>HYPERLINK("https://www.somogyi.sk/data/img/product_main_images/small/18952.jpg","https://www.somogyi.sk/data/img/product_main_images/small/18952.jpg")</f>
        <v>0.0</v>
      </c>
      <c r="F1820" s="2" t="inlineStr">
        <is>
          <t>3465700054277</t>
        </is>
      </c>
      <c r="G1820" s="4" t="inlineStr">
        <is>
          <t xml:space="preserve"> • wifi: áno 
 • farba: saténová, biela 
 • N/A: hliníkové vykurovacie teleso 
 • stupne teploty: 2500 W 
 • displej: LCD 
 • N/A: "Capa Connect" aplikácia 
 • IP stupeň ochrany: IP24 
 • umiestnenie: nástenné, voľne stojace 
 • programovateľné: programovanie: denné a týždenné nastavenia vykurovania 
 • termostat: elektronická 
 • detská poistka: áno 
 • N/A: 7 – 32 °C 
 • vhodný aj do kúpeľne: áno 
 • N/A: 37 m² 
 • funkcia ochrany pred mrazom (+5 °C): áno 
 • za/vypínač: áno 
 • kompatibilita: Android / iOS 
 • napájanie: 230 V~ / 50 Hz 
 • rozmery: 440 x 900 x 110 mm 
 • hmotnosť: 6,5 kg 
 • poznámka: pre použitie ako voľne stojaci ohrievač je potrebná súprava koliesok (sada koliesok Noirot A691600)</t>
        </is>
      </c>
    </row>
    <row r="1821">
      <c r="A1821" s="3" t="inlineStr">
        <is>
          <t>E176117</t>
        </is>
      </c>
      <c r="B1821" s="2" t="inlineStr">
        <is>
          <t>NOIROT, SPOT DESIGN 2000 BL</t>
        </is>
      </c>
      <c r="C1821" s="1" t="n">
        <v>182.9</v>
      </c>
      <c r="D1821" s="7" t="n">
        <f>HYPERLINK("https://www.somogyi.sk/product/noirot-spot-design-2000-bl-e176117-18946","https://www.somogyi.sk/product/noirot-spot-design-2000-bl-e176117-18946")</f>
        <v>0.0</v>
      </c>
      <c r="E1821" s="7" t="n">
        <f>HYPERLINK("https://www.somogyi.sk/data/img/product_main_images/small/18946.jpg","https://www.somogyi.sk/data/img/product_main_images/small/18946.jpg")</f>
        <v>0.0</v>
      </c>
      <c r="F1821" s="2" t="inlineStr">
        <is>
          <t>3465700054093</t>
        </is>
      </c>
      <c r="G1821" s="4" t="inlineStr">
        <is>
          <t xml:space="preserve"> • farba: biela 
 • N/A: hliníkové vykurovacie teleso 
 • stupne teploty: 2000 W 
 • displej: LCD 
 • IP stupeň ochrany: IP24 
 • umiestnenie: nástenné, voľne stojace 
 • programovateľné: týždenný program: 3 prednastavené programy a 3 programy šité na mieru 
 • termostat: elektronický 
 • N/A: áno 
 • detská poistka: áno 
 • vhodný aj do kúpeľne: áno 
 • N/A: 30 m² 
 • za/vypínač: áno 
 • napájanie: 230 V~ / 50 Hz 
 • rozmery: 440 x 740 x 104 mm 
 • hmotnosť: 5,6 kg 
 • poznámka: pre použitie ako voľne stojaci ohrievač je potrebná súprava koliesok (sada koliesok Noirot A691600)</t>
        </is>
      </c>
    </row>
    <row r="1822">
      <c r="A1822" s="3" t="inlineStr">
        <is>
          <t>E211125</t>
        </is>
      </c>
      <c r="B1822" s="2" t="inlineStr">
        <is>
          <t>NOIROT, VERLYS 1500 NR</t>
        </is>
      </c>
      <c r="C1822" s="1" t="n">
        <v>614.9</v>
      </c>
      <c r="D1822" s="7" t="n">
        <f>HYPERLINK("https://www.somogyi.sk/product/noirot-verlys-1500-nr-e211125-18973","https://www.somogyi.sk/product/noirot-verlys-1500-nr-e211125-18973")</f>
        <v>0.0</v>
      </c>
      <c r="E1822" s="7" t="n">
        <f>HYPERLINK("https://www.somogyi.sk/data/img/product_main_images/small/18973.jpg","https://www.somogyi.sk/data/img/product_main_images/small/18973.jpg")</f>
        <v>0.0</v>
      </c>
      <c r="F1822" s="2" t="inlineStr">
        <is>
          <t>3465700054765</t>
        </is>
      </c>
      <c r="G1822" s="4" t="inlineStr">
        <is>
          <t xml:space="preserve"> • farba: antracitová 
 • N/A: konvekčný a infračervený režim vykurovania 
 • stupne teploty: 1500 W 
 • displej: LCD 
 • IP stupeň ochrany: IP24 
 • umiestnenie: stojace, nástenné 
 • programovateľné: týždenný program: 3 prednastavené programy a 3 programy šité na mieru 
 • termostat: elektronický 
 • N/A: áno 
 • detská poistka: áno 
 • presnosť merania: 0,5 stupňová presnosť 
 • vhodný aj do kúpeľne: áno 
 • N/A: 23 m² 
 • pamäť: 6-hodinová pamäť pre prípad výpadku prúdu 
 • za/vypínač: áno 
 • charakteristiky: predný panel z tvrdeného skla s vyhrievacou fóliou 
 • ďalšie informácie: možnosť uzamknutia PIN kódom 
 • napájanie: 230 V~ / 50 Hz 
 • rozmery: 480 x 807 x 95 mm 
 • hmotnosť: 11,5 kg 
 • poznámka: pre použitie ako voľne stojaci ohrievač je potrebná súprava koliesok (sada koliesok Noirot A691600)</t>
        </is>
      </c>
    </row>
    <row r="1823">
      <c r="A1823" s="3" t="inlineStr">
        <is>
          <t>E221124</t>
        </is>
      </c>
      <c r="B1823" s="2" t="inlineStr">
        <is>
          <t>NOIROT, RSS ANURI DY 1200 AN</t>
        </is>
      </c>
      <c r="C1823" s="1" t="n">
        <v>559.9</v>
      </c>
      <c r="D1823" s="7" t="n">
        <f>HYPERLINK("https://www.somogyi.sk/product/noirot-rss-anuri-dy-1200-an-e221124-18977","https://www.somogyi.sk/product/noirot-rss-anuri-dy-1200-an-e221124-18977")</f>
        <v>0.0</v>
      </c>
      <c r="E1823" s="7" t="n">
        <f>HYPERLINK("https://www.somogyi.sk/data/img/product_main_images/small/18977.jpg","https://www.somogyi.sk/data/img/product_main_images/small/18977.jpg")</f>
        <v>0.0</v>
      </c>
      <c r="F1823" s="2" t="inlineStr">
        <is>
          <t>3465700056363</t>
        </is>
      </c>
      <c r="G1823" s="4" t="inlineStr">
        <is>
          <t xml:space="preserve"> • farba: antracitová 
 • N/A: hliníkové vykurovacie teleso 
 • stupne teploty: 1200 W výkon (500 W bežné   700 W ventilátorové vykurovanie) 
 • displej: LCD 
 • IP stupeň ochrany: IP24 
 • umiestnenie: nástenné vertikálne prevedenie 
 • programovateľné: 3 prednastavené programy a 3 programy šité na mieru 
 • N/A: áno 
 • detská poistka: áno 
 • funkcie: 2-hodinová funkcia BOOST • detekcia plného prachového filtra 
 • vhodný aj do kúpeľne: áno 
 • N/A: 18 m² 
 • napájanie: 230 V~ / 50 Hz 
 • rozmery: 741 x 366 x 174 mm 
 • hmotnosť: 7,6 kg</t>
        </is>
      </c>
    </row>
    <row r="1824">
      <c r="A1824" s="3" t="inlineStr">
        <is>
          <t>E176118</t>
        </is>
      </c>
      <c r="B1824" s="2" t="inlineStr">
        <is>
          <t>NOIROT, SPOT DESIGN 2500 BL</t>
        </is>
      </c>
      <c r="C1824" s="1" t="n">
        <v>204.9</v>
      </c>
      <c r="D1824" s="7" t="n">
        <f>HYPERLINK("https://www.somogyi.sk/product/noirot-spot-design-2500-bl-e176118-18947","https://www.somogyi.sk/product/noirot-spot-design-2500-bl-e176118-18947")</f>
        <v>0.0</v>
      </c>
      <c r="E1824" s="7" t="n">
        <f>HYPERLINK("https://www.somogyi.sk/data/img/product_main_images/small/18947.jpg","https://www.somogyi.sk/data/img/product_main_images/small/18947.jpg")</f>
        <v>0.0</v>
      </c>
      <c r="F1824" s="2" t="inlineStr">
        <is>
          <t>3465700054109</t>
        </is>
      </c>
      <c r="G1824" s="4" t="inlineStr">
        <is>
          <t xml:space="preserve"> • farba: biela 
 • N/A: hliníkové vykurovacie teleso 
 • stupne teploty: 2500 W 
 • displej: LCD 
 • IP stupeň ochrany: IP24 
 • umiestnenie: nástenné, voľne stojace 
 • programovateľné: týždenný program: 3 prednastavené programy a 3 programy šité na mieru 
 • termostat: elektronický 
 • N/A: áno 
 • detská poistka: áno 
 • vhodný aj do kúpeľne: áno 
 • N/A: 37 m² 
 • za/vypínač: áno 
 • napájanie: 230 V~ / 50 Hz 
 • rozmery: 440 x 900 x 104 mm 
 • hmotnosť: 7,5 kg 
 • poznámka: pre použitie ako voľne stojaci ohrievač je potrebná súprava koliesok (sada koliesok Noirot A691600)</t>
        </is>
      </c>
    </row>
    <row r="1825">
      <c r="A1825" s="3" t="inlineStr">
        <is>
          <t>E179115</t>
        </is>
      </c>
      <c r="B1825" s="2" t="inlineStr">
        <is>
          <t>NOIROT, SPOT WIFI 1500 BL</t>
        </is>
      </c>
      <c r="C1825" s="1" t="n">
        <v>231.9</v>
      </c>
      <c r="D1825" s="7" t="n">
        <f>HYPERLINK("https://www.somogyi.sk/product/noirot-spot-wifi-1500-bl-e179115-18950","https://www.somogyi.sk/product/noirot-spot-wifi-1500-bl-e179115-18950")</f>
        <v>0.0</v>
      </c>
      <c r="E1825" s="7" t="n">
        <f>HYPERLINK("https://www.somogyi.sk/data/img/product_main_images/small/18950.jpg","https://www.somogyi.sk/data/img/product_main_images/small/18950.jpg")</f>
        <v>0.0</v>
      </c>
      <c r="F1825" s="2" t="inlineStr">
        <is>
          <t>3465700054253</t>
        </is>
      </c>
      <c r="G1825" s="4" t="inlineStr">
        <is>
          <t xml:space="preserve"> • wifi: áno 
 • farba: saténová, biela 
 • N/A: hliníkové vykurovacie teleso 
 • stupne teploty: 1500 W 
 • displej: LCD 
 • N/A: "Capa Connect" aplikácia 
 • IP stupeň ochrany: IP24 
 • umiestnenie: nástenné, voľne stojace 
 • programovateľné: programovanie: denné a týždenné nastavenia vykurovania 
 • termostat: elektronický 
 • detská poistka: áno 
 • N/A: 7 – 32 °C 
 • vhodný aj do kúpeľne: áno 
 • N/A: 23 m² 
 • funkcia ochrany pred mrazom (+5 °C): áno 
 • za/vypínač: áno 
 • kompatibilita: Android / iOS 
 • napájanie: 230 V~ / 50 Hz 
 • rozmery: 440 x 580 x 110 mm 
 • hmotnosť: 4,5 kg 
 • poznámka: pre použitie ako voľne stojaci ohrievač je potrebná súprava koliesok (sada koliesok Noirot A691600)</t>
        </is>
      </c>
    </row>
    <row r="1826">
      <c r="A1826" s="3" t="inlineStr">
        <is>
          <t>FK 344</t>
        </is>
      </c>
      <c r="B1826" s="2" t="inlineStr">
        <is>
          <t>Konvektorový turbo ohrievač, prenosný</t>
        </is>
      </c>
      <c r="C1826" s="1" t="n">
        <v>48.49</v>
      </c>
      <c r="D1826" s="7" t="n">
        <f>HYPERLINK("https://www.somogyi.sk/product/konvektorovy-turbo-ohrievac-prenosny-fk-344-17339","https://www.somogyi.sk/product/konvektorovy-turbo-ohrievac-prenosny-fk-344-17339")</f>
        <v>0.0</v>
      </c>
      <c r="E1826" s="7" t="n">
        <f>HYPERLINK("https://www.somogyi.sk/data/img/product_main_images/small/17339.jpg","https://www.somogyi.sk/data/img/product_main_images/small/17339.jpg")</f>
        <v>0.0</v>
      </c>
      <c r="F1826" s="2" t="inlineStr">
        <is>
          <t>5999084953614</t>
        </is>
      </c>
      <c r="G1826" s="4" t="inlineStr">
        <is>
          <t xml:space="preserve"> • stupne teploty: 750 W / 1250 W / 2000 W 
 • IP stupeň ochrany: IP20 
 • umiestnenie: stojanový 
 • termostat: áno 
 • vhodný aj do kúpeľne: nie 
 • N/A: 30 m² 
 • zabudovaný ventilátor: turbo ventilátor 
 • ochrana proti prehriatiu: áno 
 • dĺžka napájacieho kábla: 1,35 m 
 • ďalšie informácie: len na vnútorné použitie 
 • napájanie: 230 V~ / 50 Hz 
 • rozmery: 69 x 39 x 19 cm 
 • hmotnosť: 3,5 kg</t>
        </is>
      </c>
    </row>
    <row r="1827">
      <c r="A1827" s="3" t="inlineStr">
        <is>
          <t>E179117</t>
        </is>
      </c>
      <c r="B1827" s="2" t="inlineStr">
        <is>
          <t>NOIROT, SPOT WIFI 2000 BL</t>
        </is>
      </c>
      <c r="C1827" s="1" t="n">
        <v>265.9</v>
      </c>
      <c r="D1827" s="7" t="n">
        <f>HYPERLINK("https://www.somogyi.sk/product/noirot-spot-wifi-2000-bl-e179117-18951","https://www.somogyi.sk/product/noirot-spot-wifi-2000-bl-e179117-18951")</f>
        <v>0.0</v>
      </c>
      <c r="E1827" s="7" t="n">
        <f>HYPERLINK("https://www.somogyi.sk/data/img/product_main_images/small/18951.jpg","https://www.somogyi.sk/data/img/product_main_images/small/18951.jpg")</f>
        <v>0.0</v>
      </c>
      <c r="F1827" s="2" t="inlineStr">
        <is>
          <t>3465700054260</t>
        </is>
      </c>
      <c r="G1827" s="4" t="inlineStr">
        <is>
          <t xml:space="preserve"> • wifi: áno 
 • farba: saténová, biela 
 • N/A: hliníkové vykurovacie teleso 
 • stupne teploty: 2000 W 
 • displej: LCD 
 • N/A: "Capa Connect" aplikácia 
 • IP stupeň ochrany: IP24 
 • umiestnenie: nástenné, voľne stojace 
 • programovateľné: programovanie: denné a týždenné nastavenia vykurovania 
 • termostat: elektronická 
 • detská poistka: áno 
 • N/A: 7 – 32 °C 
 • vhodný aj do kúpeľne: áno 
 • N/A: 30 m² 
 • funkcia ochrany pred mrazom (+5 °C): áno 
 • za/vypínač: áno 
 • kompatibilita: Android / iOS 
 • napájanie: 230 V~ / 50 Hz 
 • rozmery: 440 x 740 x 110 mm 
 • hmotnosť: 5,8 kg 
 • poznámka: pre použitie ako voľne stojaci ohrievač je potrebná súprava koliesok (sada koliesok Noirot A691600)</t>
        </is>
      </c>
    </row>
    <row r="1828">
      <c r="A1828" s="3" t="inlineStr">
        <is>
          <t>FKIR 722</t>
        </is>
      </c>
      <c r="B1828" s="2" t="inlineStr">
        <is>
          <t>Hybridný infra ohrievač, 720 W</t>
        </is>
      </c>
      <c r="C1828" s="1" t="n">
        <v>243.9</v>
      </c>
      <c r="D1828" s="7" t="n">
        <f>HYPERLINK("https://www.somogyi.sk/product/hybridny-infra-ohrievac-720-w-fkir-722-17763","https://www.somogyi.sk/product/hybridny-infra-ohrievac-720-w-fkir-722-17763")</f>
        <v>0.0</v>
      </c>
      <c r="E1828" s="7" t="n">
        <f>HYPERLINK("https://www.somogyi.sk/data/img/product_main_images/small/17763.jpg","https://www.somogyi.sk/data/img/product_main_images/small/17763.jpg")</f>
        <v>0.0</v>
      </c>
      <c r="F1828" s="2" t="inlineStr">
        <is>
          <t>5999084957858</t>
        </is>
      </c>
      <c r="G1828" s="4" t="inlineStr">
        <is>
          <t xml:space="preserve"> • stupne teploty: 720 W 
 • IP stupeň ochrany: IP20 
 • umiestnenie: nástenné alebo stropné 
 • termostat: elektronický termostat zabudovaný v diaľkovom ovládači 
 • diaľkový ovládač: áno 
 • N/A: 0 °C - 70 °C 
 • vhodný aj do kúpeľne: nie 
 • časovač: týždenný program 
 • N/A: 11 m² 
 • zabudovaný ventilátor: nie 
 • ochrana proti prehriatiu: áno 
 • dĺžka napájacieho kábla: 1,6 m 
 • ďalšie informácie: detekcia otvorenia okna 
 • napájanie: 230 V~ / 50 Hz 
 • rozmery: 120 x 60 x 4 cm 
 • hmotnosť: 5,1 kg</t>
        </is>
      </c>
    </row>
    <row r="1829">
      <c r="A1829" s="3" t="inlineStr">
        <is>
          <t>E176115</t>
        </is>
      </c>
      <c r="B1829" s="2" t="inlineStr">
        <is>
          <t>NOIROT, SPOT DESIGN 1500 BL</t>
        </is>
      </c>
      <c r="C1829" s="1" t="n">
        <v>164.9</v>
      </c>
      <c r="D1829" s="7" t="n">
        <f>HYPERLINK("https://www.somogyi.sk/product/noirot-spot-design-1500-bl-e176115-18945","https://www.somogyi.sk/product/noirot-spot-design-1500-bl-e176115-18945")</f>
        <v>0.0</v>
      </c>
      <c r="E1829" s="7" t="n">
        <f>HYPERLINK("https://www.somogyi.sk/data/img/product_main_images/small/18945.jpg","https://www.somogyi.sk/data/img/product_main_images/small/18945.jpg")</f>
        <v>0.0</v>
      </c>
      <c r="F1829" s="2" t="inlineStr">
        <is>
          <t>3465700054086</t>
        </is>
      </c>
      <c r="G1829" s="4" t="inlineStr">
        <is>
          <t xml:space="preserve"> • farba: biela 
 • N/A: hliníkové vykurovacie teleso 
 • stupne teploty: 1500 W 
 • displej: LCD 
 • IP stupeň ochrany: IP24 
 • umiestnenie: nástenné, voľne stojace 
 • programovateľné: týždenný program: 3 prednastavené programy a 3 programy šité na mieru 
 • termostat: elektronický 
 • N/A: áno 
 • detská poistka: áno 
 • vhodný aj do kúpeľne: áno 
 • N/A: 23 m² 
 • za/vypínač: áno 
 • rozmery: 440 x 580 x 104 mm 
 • hmotnosť: 4,4 kg 
 • poznámka: pre použitie ako voľne stojaci ohrievač je potrebná súprava koliesok (sada koliesok Noirot A691600)</t>
        </is>
      </c>
    </row>
    <row r="1830">
      <c r="A1830" s="3" t="inlineStr">
        <is>
          <t>E179113</t>
        </is>
      </c>
      <c r="B1830" s="2" t="inlineStr">
        <is>
          <t>NOIROT, SPOT WIFI 1000 BL</t>
        </is>
      </c>
      <c r="C1830" s="1" t="n">
        <v>210.9</v>
      </c>
      <c r="D1830" s="7" t="n">
        <f>HYPERLINK("https://www.somogyi.sk/product/noirot-spot-wifi-1000-bl-e179113-18949","https://www.somogyi.sk/product/noirot-spot-wifi-1000-bl-e179113-18949")</f>
        <v>0.0</v>
      </c>
      <c r="E1830" s="7" t="n">
        <f>HYPERLINK("https://www.somogyi.sk/data/img/product_main_images/small/18949.jpg","https://www.somogyi.sk/data/img/product_main_images/small/18949.jpg")</f>
        <v>0.0</v>
      </c>
      <c r="F1830" s="2" t="inlineStr">
        <is>
          <t>3465700054246</t>
        </is>
      </c>
      <c r="G1830" s="4" t="inlineStr">
        <is>
          <t xml:space="preserve"> • wifi: áno 
 • farba: saténová, biela 
 • N/A: hliníkové vykurovacie teleso 
 • stupne teploty: 1000 W 
 • displej: LCD 
 • N/A: "Capa Connect" aplikácia 
 • IP stupeň ochrany: IP24 
 • umiestnenie: nástenné, voľne stojace 
 • programovateľné: programovanie: denné a týždenné nastavenia vykurovania 
 • termostat: elektronický 
 • detská poistka: áno 
 • N/A: 7 – 32 °C 
 • vhodný aj do kúpeľne: áno 
 • N/A: 15 m² 
 • funkcia ochrany pred mrazom (+5 °C): áno 
 • za/vypínač: áno 
 • kompatibilita: Android / iOS 
 • napájanie: 230 V~ / 50 Hz 
 • rozmery: 440 x 420 x 110 mm 
 • hmotnosť: 3,8 kg 
 • poznámka: pre použitie ako voľne stojaci ohrievač je potrebná súprava koliesok (sada koliesok Noirot A691600)</t>
        </is>
      </c>
    </row>
    <row r="1831">
      <c r="A1831" s="3" t="inlineStr">
        <is>
          <t>FK 410 WIFI</t>
        </is>
      </c>
      <c r="B1831" s="2" t="inlineStr">
        <is>
          <t>Smart ohrievač</t>
        </is>
      </c>
      <c r="C1831" s="1" t="n">
        <v>104.9</v>
      </c>
      <c r="D1831" s="7" t="n">
        <f>HYPERLINK("https://www.somogyi.sk/product/smart-ohrievac-fk-410-wifi-16458","https://www.somogyi.sk/product/smart-ohrievac-fk-410-wifi-16458")</f>
        <v>0.0</v>
      </c>
      <c r="E1831" s="7" t="n">
        <f>HYPERLINK("https://www.somogyi.sk/data/img/product_main_images/small/16458.jpg","https://www.somogyi.sk/data/img/product_main_images/small/16458.jpg")</f>
        <v>0.0</v>
      </c>
      <c r="F1831" s="2" t="inlineStr">
        <is>
          <t>5999084944902</t>
        </is>
      </c>
      <c r="G1831" s="4" t="inlineStr">
        <is>
          <t xml:space="preserve"> • wifi: áno 
 • stupne teploty: 500 W / 1000 W 
 • IP stupeň ochrany: IPX4 
 • umiestnenie: stojanový, nástenný 
 • materiál: kovová 
 • termostat: áno 
 • diaľkový ovládač: pomocou aplikácie cez WiFi 
 • N/A: 5 °C - 40 °C 
 • vhodný aj do kúpeľne: áno 
 • časovač: časovač vypnutia 
 • N/A: 15 m² 
 • dĺžka napájacieho kábla: 1,5 m 
 • ďalšie informácie: dotykové tlačidlá, detská zámka, tento výrobok je určený iba do dobre izolovaných priestorov alebo na príležitostné použitie! 
 • napájanie: 230 V~ / 50 Hz 
 • rozmery: s podstavcom: 60 x 43 x 24 cm / montovaný na stenu: 60 x 38 x 9 cm 
 • hmotnosť: 4,8 kg</t>
        </is>
      </c>
    </row>
    <row r="1832">
      <c r="A1832" s="6" t="inlineStr">
        <is>
          <t xml:space="preserve">   Vykurovanie, Odvlhčovanie / Olejový radiátor</t>
        </is>
      </c>
      <c r="B1832" s="6" t="inlineStr">
        <is>
          <t/>
        </is>
      </c>
      <c r="C1832" s="6" t="inlineStr">
        <is>
          <t/>
        </is>
      </c>
      <c r="D1832" s="6" t="inlineStr">
        <is>
          <t/>
        </is>
      </c>
      <c r="E1832" s="6" t="inlineStr">
        <is>
          <t/>
        </is>
      </c>
      <c r="F1832" s="6" t="inlineStr">
        <is>
          <t/>
        </is>
      </c>
      <c r="G1832" s="6" t="inlineStr">
        <is>
          <t/>
        </is>
      </c>
    </row>
    <row r="1833">
      <c r="A1833" s="3" t="inlineStr">
        <is>
          <t>FKOS 11 M</t>
        </is>
      </c>
      <c r="B1833" s="2" t="inlineStr">
        <is>
          <t>Olejový radiátor, 11 článkov, 2000 W</t>
        </is>
      </c>
      <c r="C1833" s="1" t="n">
        <v>79.69</v>
      </c>
      <c r="D1833" s="7" t="n">
        <f>HYPERLINK("https://www.somogyi.sk/product/olejovy-radiator-11-clankov-2000-w-fkos-11-m-16430","https://www.somogyi.sk/product/olejovy-radiator-11-clankov-2000-w-fkos-11-m-16430")</f>
        <v>0.0</v>
      </c>
      <c r="E1833" s="7" t="n">
        <f>HYPERLINK("https://www.somogyi.sk/data/img/product_main_images/small/16430.jpg","https://www.somogyi.sk/data/img/product_main_images/small/16430.jpg")</f>
        <v>0.0</v>
      </c>
      <c r="F1833" s="2" t="inlineStr">
        <is>
          <t>5999084944629</t>
        </is>
      </c>
      <c r="G1833" s="4" t="inlineStr">
        <is>
          <t xml:space="preserve"> • stupne teploty: 3 stupne ohrievania (800 / 1200 / 2000 W) 
 • počet článkov: 11 článkov 
 • termostat: áno 
 • N/A: 30 m² 
 • vhodný aj do kúpeľne: nie 
 • zabudovaný ventilátor: nie 
 • ochrana proti prehriatiu: áno 
 • automatické vypnutie v prípade prevrhnutia: áno 
 • dĺžka napájacieho kábla: 1,4 m 
 • napájanie: 230 V~ / 50 Hz 
 • rozmery: 12 (23)x60x51 cm 
 • hmotnosť: 10,2 kg</t>
        </is>
      </c>
    </row>
    <row r="1834">
      <c r="A1834" s="3" t="inlineStr">
        <is>
          <t>FKOS 13 M</t>
        </is>
      </c>
      <c r="B1834" s="2" t="inlineStr">
        <is>
          <t>Olejový radiátor, 13 článkov, 2500 W</t>
        </is>
      </c>
      <c r="C1834" s="1" t="n">
        <v>89.59</v>
      </c>
      <c r="D1834" s="7" t="n">
        <f>HYPERLINK("https://www.somogyi.sk/product/olejovy-radiator-13-clankov-2500-w-fkos-13-m-16431","https://www.somogyi.sk/product/olejovy-radiator-13-clankov-2500-w-fkos-13-m-16431")</f>
        <v>0.0</v>
      </c>
      <c r="E1834" s="7" t="n">
        <f>HYPERLINK("https://www.somogyi.sk/data/img/product_main_images/small/16431.jpg","https://www.somogyi.sk/data/img/product_main_images/small/16431.jpg")</f>
        <v>0.0</v>
      </c>
      <c r="F1834" s="2" t="inlineStr">
        <is>
          <t>5999084944636</t>
        </is>
      </c>
      <c r="G1834" s="4" t="inlineStr">
        <is>
          <t xml:space="preserve"> • stupne teploty: 3 stupne ohrievania (1000 / 1500 / 2500 W) 
 • počet článkov: 13 článkov 
 • termostat: áno 
 • N/A: 38 m² 
 • vhodný aj do kúpeľne: nie 
 • zabudovaný ventilátor: nie 
 • ochrana proti prehriatiu: áno 
 • automatické vypnutie v prípade prevrhnutia: áno 
 • dĺžka napájacieho kábla: 1,4 m 
 • napájanie: 230 V~ / 50 Hz 
 • rozmery: 12 (23)x60x58 cm 
 • hmotnosť: 11,8 kg</t>
        </is>
      </c>
    </row>
    <row r="1835">
      <c r="A1835" s="3" t="inlineStr">
        <is>
          <t>FKOS 9 M</t>
        </is>
      </c>
      <c r="B1835" s="2" t="inlineStr">
        <is>
          <t>Olejový radiátor, 9 článkov, 2000 W</t>
        </is>
      </c>
      <c r="C1835" s="1" t="n">
        <v>70.09</v>
      </c>
      <c r="D1835" s="7" t="n">
        <f>HYPERLINK("https://www.somogyi.sk/product/olejovy-radiator-9-clankov-2000-w-fkos-9-m-16429","https://www.somogyi.sk/product/olejovy-radiator-9-clankov-2000-w-fkos-9-m-16429")</f>
        <v>0.0</v>
      </c>
      <c r="E1835" s="7" t="n">
        <f>HYPERLINK("https://www.somogyi.sk/data/img/product_main_images/small/16429.jpg","https://www.somogyi.sk/data/img/product_main_images/small/16429.jpg")</f>
        <v>0.0</v>
      </c>
      <c r="F1835" s="2" t="inlineStr">
        <is>
          <t>5999084944612</t>
        </is>
      </c>
      <c r="G1835" s="4" t="inlineStr">
        <is>
          <t xml:space="preserve"> • stupne teploty: 3 stupne ohrievania (800 / 1200 / 2000 W) 
 • počet článkov: 9 článkov 
 • termostat: áno 
 • N/A: 30 m² 
 • vhodný aj do kúpeľne: nie 
 • zabudovaný ventilátor: nie 
 • ochrana proti prehriatiu: áno 
 • automatické vypnutie v prípade prevrhnutia: áno 
 • dĺžka napájacieho kábla: 1,4 m 
 • napájanie: 230 V~ / 50 Hz 
 • rozmery: 12 (23)x60x44 cm 
 • hmotnosť: 8,6 kg</t>
        </is>
      </c>
    </row>
    <row r="1836">
      <c r="A1836" s="3" t="inlineStr">
        <is>
          <t>FKOS 7 M</t>
        </is>
      </c>
      <c r="B1836" s="2" t="inlineStr">
        <is>
          <t>Olejový radiátor, 7 článkov, 1500 W</t>
        </is>
      </c>
      <c r="C1836" s="1" t="n">
        <v>60.39</v>
      </c>
      <c r="D1836" s="7" t="n">
        <f>HYPERLINK("https://www.somogyi.sk/product/olejovy-radiator-7-clankov-1500-w-fkos-7-m-16428","https://www.somogyi.sk/product/olejovy-radiator-7-clankov-1500-w-fkos-7-m-16428")</f>
        <v>0.0</v>
      </c>
      <c r="E1836" s="7" t="n">
        <f>HYPERLINK("https://www.somogyi.sk/data/img/product_main_images/small/16428.jpg","https://www.somogyi.sk/data/img/product_main_images/small/16428.jpg")</f>
        <v>0.0</v>
      </c>
      <c r="F1836" s="2" t="inlineStr">
        <is>
          <t>5999084944605</t>
        </is>
      </c>
      <c r="G1836" s="4" t="inlineStr">
        <is>
          <t xml:space="preserve"> • stupne teploty: 3 stupne ohrievania (600 / 900 / 1500 W) 
 • počet článkov: 7 článkov 
 • termostat: áno 
 • N/A: 23 m² 
 • vhodný aj do kúpeľne: nie 
 • zabudovaný ventilátor: nie 
 • ochrana proti prehriatiu: áno 
 • automatické vypnutie v prípade prevrhnutia: áno 
 • dĺžka napájacieho kábla: 1,4 m 
 • napájanie: 230 V~ / 50 Hz 
 • rozmery: 12 (23)x60x37 cm 
 • hmotnosť: 7 kg</t>
        </is>
      </c>
    </row>
    <row r="1837">
      <c r="A1837" s="6" t="inlineStr">
        <is>
          <t xml:space="preserve">   Vykurovanie, Odvlhčovanie / Teplovzdušný ventilátor</t>
        </is>
      </c>
      <c r="B1837" s="6" t="inlineStr">
        <is>
          <t/>
        </is>
      </c>
      <c r="C1837" s="6" t="inlineStr">
        <is>
          <t/>
        </is>
      </c>
      <c r="D1837" s="6" t="inlineStr">
        <is>
          <t/>
        </is>
      </c>
      <c r="E1837" s="6" t="inlineStr">
        <is>
          <t/>
        </is>
      </c>
      <c r="F1837" s="6" t="inlineStr">
        <is>
          <t/>
        </is>
      </c>
      <c r="G1837" s="6" t="inlineStr">
        <is>
          <t/>
        </is>
      </c>
    </row>
    <row r="1838">
      <c r="A1838" s="3" t="inlineStr">
        <is>
          <t>FKI 50</t>
        </is>
      </c>
      <c r="B1838" s="2" t="inlineStr">
        <is>
          <t>Priemyselný ventilátorový ohrievač</t>
        </is>
      </c>
      <c r="C1838" s="1" t="n">
        <v>128.9</v>
      </c>
      <c r="D1838" s="7" t="n">
        <f>HYPERLINK("https://www.somogyi.sk/product/priemyselny-ventilatorovy-ohrievac-fki-50-16452","https://www.somogyi.sk/product/priemyselny-ventilatorovy-ohrievac-fki-50-16452")</f>
        <v>0.0</v>
      </c>
      <c r="E1838" s="7" t="n">
        <f>HYPERLINK("https://www.somogyi.sk/data/img/product_main_images/small/16452.jpg","https://www.somogyi.sk/data/img/product_main_images/small/16452.jpg")</f>
        <v>0.0</v>
      </c>
      <c r="F1838" s="2" t="inlineStr">
        <is>
          <t>5999084944841</t>
        </is>
      </c>
      <c r="G1838" s="4" t="inlineStr">
        <is>
          <t xml:space="preserve"> • stupne teploty: 2500 W / 5000 W 
 • termostat: áno 
 • N/A: 77 m² 
 • IP stupeň ochrany: IPX4 
 • ochrana proti prehriatiu: áno 
 • napájanie: 400 V~ 
 • rozmery: 29,5 x 47 x 33 cm 
 • ďalšie informácie: Sieťový kábel nie je príslušenstvom!</t>
        </is>
      </c>
    </row>
    <row r="1839">
      <c r="A1839" s="3" t="inlineStr">
        <is>
          <t>FK1OSC</t>
        </is>
      </c>
      <c r="B1839" s="2" t="inlineStr">
        <is>
          <t>Ventilátorový ohrievač s osciláciou</t>
        </is>
      </c>
      <c r="C1839" s="1" t="n">
        <v>27.59</v>
      </c>
      <c r="D1839" s="7" t="n">
        <f>HYPERLINK("https://www.somogyi.sk/product/ventilatorovy-ohrievac-s-oscilaciou-fk1osc-18476","https://www.somogyi.sk/product/ventilatorovy-ohrievac-s-oscilaciou-fk1osc-18476")</f>
        <v>0.0</v>
      </c>
      <c r="E1839" s="7" t="n">
        <f>HYPERLINK("https://www.somogyi.sk/data/img/product_main_images/small/18476.jpg","https://www.somogyi.sk/data/img/product_main_images/small/18476.jpg")</f>
        <v>0.0</v>
      </c>
      <c r="F1839" s="2" t="inlineStr">
        <is>
          <t>5999084964948</t>
        </is>
      </c>
      <c r="G1839" s="4" t="inlineStr">
        <is>
          <t xml:space="preserve"> • stupne teploty: 1000 W / max. 2000 W 
 • len režim ventilátora: áno 
 • termostat: mechanický termostat 
 • N/A: 30 m² 
 • vhodný aj do kúpeľne: nie 
 • oscilácia: áno (dá sa vypnúť) 
 • IP stupeň ochrany: IP20 
 • ochrana proti prehriatiu: áno 
 • hlučnosť: 56 dB(A) 
 • napájanie: 230 V~ / 50 Hz 
 • rozmery: 20,5 x 27,5 x 15,5 cm 
 • hmotnosť: 1,3 kg</t>
        </is>
      </c>
    </row>
    <row r="1840">
      <c r="A1840" s="3" t="inlineStr">
        <is>
          <t>ST-05-400-E</t>
        </is>
      </c>
      <c r="B1840" s="2" t="inlineStr">
        <is>
          <t>STANLEY priemyselný ohrievač</t>
        </is>
      </c>
      <c r="C1840" s="1" t="n">
        <v>161.9</v>
      </c>
      <c r="D1840" s="7" t="n">
        <f>HYPERLINK("https://www.somogyi.sk/product/stanley-priemyselny-ohrievac-st-05-400-e-17045","https://www.somogyi.sk/product/stanley-priemyselny-ohrievac-st-05-400-e-17045")</f>
        <v>0.0</v>
      </c>
      <c r="E1840" s="7" t="n">
        <f>HYPERLINK("https://www.somogyi.sk/data/img/product_main_images/small/17045.jpg","https://www.somogyi.sk/data/img/product_main_images/small/17045.jpg")</f>
        <v>0.0</v>
      </c>
      <c r="F1840" s="2" t="inlineStr">
        <is>
          <t>0657888110057</t>
        </is>
      </c>
      <c r="G1840" s="4" t="inlineStr">
        <is>
          <t xml:space="preserve"> • stupne teploty: 2500 W / 5000 W 
 • len režim ventilátora: áno 
 • termostat: mechanický 
 • N/A: 77 m² 
 • IP stupeň ochrany: IPX4 
 • ochrana proti prehriatiu: áno 
 • dĺžka napájacieho kábla: 1,3 m 
 • napájanie: 400 V ~/ 50 Hz 
 • rozmery: 35 x 37,5 x 45,5 cm 
 • ďalšie informácie: kovový kryt, so sieťovým káblom a prípojkou</t>
        </is>
      </c>
    </row>
    <row r="1841">
      <c r="A1841" s="3" t="inlineStr">
        <is>
          <t>FK 37/GY</t>
        </is>
      </c>
      <c r="B1841" s="2" t="inlineStr">
        <is>
          <t>Teplovzdušný ventilátor</t>
        </is>
      </c>
      <c r="C1841" s="1" t="n">
        <v>25.59</v>
      </c>
      <c r="D1841" s="7" t="n">
        <f>HYPERLINK("https://www.somogyi.sk/product/teplovzdusny-ventilator-fk-37-gy-14902","https://www.somogyi.sk/product/teplovzdusny-ventilator-fk-37-gy-14902")</f>
        <v>0.0</v>
      </c>
      <c r="E1841" s="7" t="n">
        <f>HYPERLINK("https://www.somogyi.sk/data/img/product_main_images/small/14902.jpg","https://www.somogyi.sk/data/img/product_main_images/small/14902.jpg")</f>
        <v>0.0</v>
      </c>
      <c r="F1841" s="2" t="inlineStr">
        <is>
          <t>5999084929398</t>
        </is>
      </c>
      <c r="G1841" s="4" t="inlineStr">
        <is>
          <t xml:space="preserve"> • 2 stupne ohrievania: 1000 W / 2000 W 
 • mechanický termostat 
 • automatické vypnutie v prípade prehriatia alebo prevrhnutia 
 • rozmery: 26 x 24 x 13 cm</t>
        </is>
      </c>
    </row>
    <row r="1842">
      <c r="A1842" s="3" t="inlineStr">
        <is>
          <t>FK 1</t>
        </is>
      </c>
      <c r="B1842" s="2" t="inlineStr">
        <is>
          <t>Ohrievač, s ventilátorom</t>
        </is>
      </c>
      <c r="C1842" s="1" t="n">
        <v>18.89</v>
      </c>
      <c r="D1842" s="7" t="n">
        <f>HYPERLINK("https://www.somogyi.sk/product/ohrievac-s-ventilatorom-fk-1-6431","https://www.somogyi.sk/product/ohrievac-s-ventilatorom-fk-1-6431")</f>
        <v>0.0</v>
      </c>
      <c r="E1842" s="7" t="n">
        <f>HYPERLINK("https://www.somogyi.sk/data/img/product_main_images/small/06431.jpg","https://www.somogyi.sk/data/img/product_main_images/small/06431.jpg")</f>
        <v>0.0</v>
      </c>
      <c r="F1842" s="2" t="inlineStr">
        <is>
          <t>5998312754771</t>
        </is>
      </c>
      <c r="G1842" s="4" t="inlineStr">
        <is>
          <t xml:space="preserve"> • farba: biela 
 • diaľkový ovládač: nie 
 • stupne teploty: 1000 W / 2000 W 
 • časovač vypnutia: nie 
 • len režim ventilátora: áno 
 • termostat: áno 
 • N/A: 30 m² 
 • vhodný aj do kúpeľne: nie 
 • oscilácia: nie 
 • IP stupeň ochrany: IP20 
 • umiestnenie na stenu: nie 
 • ochrana proti prehriatiu: áno 
 • automatické vypnutie v prípade prevrhnutia: áno 
 • hlučnosť: 52 dB(A) 
 • dĺžka napájacieho kábla: 1,5 m 
 • napájanie: 230 V~  / 50 Hz 
 • rozmery: 21 x 26,5 x 11 cm 
 • hmotnosť: 1,1 kg</t>
        </is>
      </c>
    </row>
    <row r="1843">
      <c r="A1843" s="3" t="inlineStr">
        <is>
          <t>ST-033-240-E</t>
        </is>
      </c>
      <c r="B1843" s="2" t="inlineStr">
        <is>
          <t>STANLEY priemyselný ohrievač, 3,3 kW</t>
        </is>
      </c>
      <c r="C1843" s="1" t="n">
        <v>111.9</v>
      </c>
      <c r="D1843" s="7" t="n">
        <f>HYPERLINK("https://www.somogyi.sk/product/stanley-priemyselny-ohrievac-3-3-kw-st-033-240-e-17044","https://www.somogyi.sk/product/stanley-priemyselny-ohrievac-3-3-kw-st-033-240-e-17044")</f>
        <v>0.0</v>
      </c>
      <c r="E1843" s="7" t="n">
        <f>HYPERLINK("https://www.somogyi.sk/data/img/product_main_images/small/17044.jpg","https://www.somogyi.sk/data/img/product_main_images/small/17044.jpg")</f>
        <v>0.0</v>
      </c>
      <c r="F1843" s="2" t="inlineStr">
        <is>
          <t>0657888140337</t>
        </is>
      </c>
      <c r="G1843" s="4" t="inlineStr">
        <is>
          <t xml:space="preserve"> • stupne teploty: 1650 W / 3300 W 
 • len režim ventilátora: áno 
 • termostat: mechanický 
 • N/A: 50 m² 
 • IP stupeň ochrany: IPX4 
 • ochrana proti prehriatiu: áno 
 • napájanie: 230 V ~/ 50 Hz 
 • rozmery: 35 x 37,5 x 45,5 cm 
 • ďalšie informácie: kovový kryt</t>
        </is>
      </c>
    </row>
    <row r="1844">
      <c r="A1844" s="3" t="inlineStr">
        <is>
          <t>FKI 90</t>
        </is>
      </c>
      <c r="B1844" s="2" t="inlineStr">
        <is>
          <t>Priemyselný ventilátorový ohrievač</t>
        </is>
      </c>
      <c r="C1844" s="1" t="n">
        <v>206.9</v>
      </c>
      <c r="D1844" s="7" t="n">
        <f>HYPERLINK("https://www.somogyi.sk/product/priemyselny-ventilatorovy-ohrievac-fki-90-16453","https://www.somogyi.sk/product/priemyselny-ventilatorovy-ohrievac-fki-90-16453")</f>
        <v>0.0</v>
      </c>
      <c r="E1844" s="7" t="n">
        <f>HYPERLINK("https://www.somogyi.sk/data/img/product_main_images/small/16453.jpg","https://www.somogyi.sk/data/img/product_main_images/small/16453.jpg")</f>
        <v>0.0</v>
      </c>
      <c r="F1844" s="2" t="inlineStr">
        <is>
          <t>5999084944858</t>
        </is>
      </c>
      <c r="G1844" s="4" t="inlineStr">
        <is>
          <t xml:space="preserve"> • stupne teploty: 4500 W / 9000 W 
 • termostat: áno 
 • N/A: 138 m² 
 • IP stupeň ochrany: IPX4 
 • ochrana proti prehriatiu: áno 
 • napájanie: 400 V~ 
 • rozmery: 35 x 51 x 37 cm 
 • ďalšie informácie: Sieťový kábel nie je príslušenstvom!</t>
        </is>
      </c>
    </row>
    <row r="1845">
      <c r="A1845" s="6" t="inlineStr">
        <is>
          <t xml:space="preserve">   Vykurovanie, Odvlhčovanie / Vysávač na popol</t>
        </is>
      </c>
      <c r="B1845" s="6" t="inlineStr">
        <is>
          <t/>
        </is>
      </c>
      <c r="C1845" s="6" t="inlineStr">
        <is>
          <t/>
        </is>
      </c>
      <c r="D1845" s="6" t="inlineStr">
        <is>
          <t/>
        </is>
      </c>
      <c r="E1845" s="6" t="inlineStr">
        <is>
          <t/>
        </is>
      </c>
      <c r="F1845" s="6" t="inlineStr">
        <is>
          <t/>
        </is>
      </c>
      <c r="G1845" s="6" t="inlineStr">
        <is>
          <t/>
        </is>
      </c>
    </row>
    <row r="1846">
      <c r="A1846" s="3" t="inlineStr">
        <is>
          <t>FHP 820/S</t>
        </is>
      </c>
      <c r="B1846" s="2" t="inlineStr">
        <is>
          <t>Umývateľný filter k FHP 820</t>
        </is>
      </c>
      <c r="C1846" s="1" t="n">
        <v>7.79</v>
      </c>
      <c r="D1846" s="7" t="n">
        <f>HYPERLINK("https://www.somogyi.sk/product/umyvatelny-filter-k-fhp-820-fhp-820-s-15884","https://www.somogyi.sk/product/umyvatelny-filter-k-fhp-820-fhp-820-s-15884")</f>
        <v>0.0</v>
      </c>
      <c r="E1846" s="7" t="n">
        <f>HYPERLINK("https://www.somogyi.sk/data/img/product_main_images/small/15884.jpg","https://www.somogyi.sk/data/img/product_main_images/small/15884.jpg")</f>
        <v>0.0</v>
      </c>
      <c r="F1846" s="2" t="inlineStr">
        <is>
          <t>5999084939182</t>
        </is>
      </c>
      <c r="G1846" s="4"/>
    </row>
    <row r="1847">
      <c r="A1847" s="6" t="inlineStr">
        <is>
          <t xml:space="preserve">   Vykurovanie, Odvlhčovanie / Termostat, zónový systém, spínač, internetový modul</t>
        </is>
      </c>
      <c r="B1847" s="6" t="inlineStr">
        <is>
          <t/>
        </is>
      </c>
      <c r="C1847" s="6" t="inlineStr">
        <is>
          <t/>
        </is>
      </c>
      <c r="D1847" s="6" t="inlineStr">
        <is>
          <t/>
        </is>
      </c>
      <c r="E1847" s="6" t="inlineStr">
        <is>
          <t/>
        </is>
      </c>
      <c r="F1847" s="6" t="inlineStr">
        <is>
          <t/>
        </is>
      </c>
      <c r="G1847" s="6" t="inlineStr">
        <is>
          <t/>
        </is>
      </c>
    </row>
    <row r="1848">
      <c r="A1848" s="3" t="inlineStr">
        <is>
          <t>T140C110AEU</t>
        </is>
      </c>
      <c r="B1848" s="2" t="inlineStr">
        <is>
          <t>Digitálny izbový termostat T140</t>
        </is>
      </c>
      <c r="C1848" s="1" t="n">
        <v>75.09</v>
      </c>
      <c r="D1848" s="7" t="n">
        <f>HYPERLINK("https://www.somogyi.sk/product/digitalny-izbovy-termostat-t140-t140c110aeu-17270","https://www.somogyi.sk/product/digitalny-izbovy-termostat-t140-t140c110aeu-17270")</f>
        <v>0.0</v>
      </c>
      <c r="E1848" s="7" t="n">
        <f>HYPERLINK("https://www.somogyi.sk/data/img/product_main_images/small/17270.jpg","https://www.somogyi.sk/data/img/product_main_images/small/17270.jpg")</f>
        <v>0.0</v>
      </c>
      <c r="F1848" s="2" t="inlineStr">
        <is>
          <t>5059085000295</t>
        </is>
      </c>
      <c r="G1848" s="4" t="inlineStr">
        <is>
          <t xml:space="preserve"> • diaľkové ovládanie: nie 
 • Android kompatibilita: nie 
 • iOS kompatibilita: nie 
 • displej: LCD 
 • programovateľné: 7 dní programovania, 4 programy za deň, samoučiaci sa algoritmus 
 • frekvencia: bezdrôtový 
 • umiestnenie na stenu: áno 
 • napájanie: 2 x 1,5 V (AA) batéria, nie je príslušenstvom</t>
        </is>
      </c>
    </row>
    <row r="1849">
      <c r="A1849" s="3" t="inlineStr">
        <is>
          <t>ATP921R3052</t>
        </is>
      </c>
      <c r="B1849" s="2" t="inlineStr">
        <is>
          <t>Sada izbového termostatu, farebné LCD, multi-zone</t>
        </is>
      </c>
      <c r="C1849" s="1" t="n">
        <v>369.9</v>
      </c>
      <c r="D1849" s="7" t="n">
        <f>HYPERLINK("https://www.somogyi.sk/product/sada-izboveho-termostatu-farebne-lcd-multi-zone-atp921r3052-14936","https://www.somogyi.sk/product/sada-izboveho-termostatu-farebne-lcd-multi-zone-atp921r3052-14936")</f>
        <v>0.0</v>
      </c>
      <c r="E1849" s="7" t="n">
        <f>HYPERLINK("https://www.somogyi.sk/data/img/product_main_images/small/14936.jpg","https://www.somogyi.sk/data/img/product_main_images/small/14936.jpg")</f>
        <v>0.0</v>
      </c>
      <c r="F1849" s="2" t="inlineStr">
        <is>
          <t>5025121381093</t>
        </is>
      </c>
      <c r="G1849" s="4" t="inlineStr">
        <is>
          <t xml:space="preserve"> • ATC 928 evohom zónový systém, BDR spínací modul a ATF100 nabíjací stojan na stôl 
 • meranie 0,1 °C, zobrazenie po 0,5 °C 
 • 868 MHz 
 • 30 m dosah na otvorenom teréne 
 • napájanie: 2 x NiMH akumulátor, je príslušenstvom 
 • nabíjanie akumulátorov zabezpečí stojan 
 • relé jednotka BDR si vyžaduje 230 V napájanie</t>
        </is>
      </c>
    </row>
    <row r="1850">
      <c r="A1850" s="3" t="inlineStr">
        <is>
          <t>DT90A1008</t>
        </is>
      </c>
      <c r="B1850" s="2" t="inlineStr">
        <is>
          <t>Digitálny izbový termostat Honeywell</t>
        </is>
      </c>
      <c r="C1850" s="1" t="n">
        <v>39.59</v>
      </c>
      <c r="D1850" s="7" t="n">
        <f>HYPERLINK("https://www.somogyi.sk/product/digitalny-izbovy-termostat-honeywell-dt90a1008-13655","https://www.somogyi.sk/product/digitalny-izbovy-termostat-honeywell-dt90a1008-13655")</f>
        <v>0.0</v>
      </c>
      <c r="E1850" s="7" t="n">
        <f>HYPERLINK("https://www.somogyi.sk/data/img/product_main_images/small/13655.jpg","https://www.somogyi.sk/data/img/product_main_images/small/13655.jpg")</f>
        <v>0.0</v>
      </c>
      <c r="F1850" s="2" t="inlineStr">
        <is>
          <t>5025121386135</t>
        </is>
      </c>
      <c r="G1850" s="4" t="inlineStr">
        <is>
          <t xml:space="preserve"> • kompatibilita: - 
 • diaľkové ovládanie: nie 
 • Android kompatibilita: nie 
 • displej: LCD 
 • osvetlenie pozadia: nie 
 • počet vykurovacích zón: 1 
 • frekvencia: s vedením 
 • meranie: 0,01°C 
 • zobrazenie nameranej hodnoty: zobrazenie po 0,5°C 
 • ochrana proti zamrznutiu: áno, 5°C 
 • umiestnenie na stenu: áno 
 • zapustenie do steny: nie 
 • napájanie: 2 ks 1,5 V AA batéria 
 • rozmery: 90 x 90 x 28 mm</t>
        </is>
      </c>
    </row>
    <row r="1851">
      <c r="A1851" s="3" t="inlineStr">
        <is>
          <t>THES25WWIFI</t>
        </is>
      </c>
      <c r="B1851" s="2" t="inlineStr">
        <is>
          <t>Smart termostat, biely</t>
        </is>
      </c>
      <c r="C1851" s="1" t="n">
        <v>90.69</v>
      </c>
      <c r="D1851" s="7" t="n">
        <f>HYPERLINK("https://www.somogyi.sk/product/smart-termostat-biely-thes25wwifi-18554","https://www.somogyi.sk/product/smart-termostat-biely-thes25wwifi-18554")</f>
        <v>0.0</v>
      </c>
      <c r="E1851" s="7" t="n">
        <f>HYPERLINK("https://www.somogyi.sk/data/img/product_main_images/small/18554.jpg","https://www.somogyi.sk/data/img/product_main_images/small/18554.jpg")</f>
        <v>0.0</v>
      </c>
      <c r="F1851" s="2" t="inlineStr">
        <is>
          <t>5999084965723</t>
        </is>
      </c>
      <c r="G1851" s="4" t="inlineStr">
        <is>
          <t xml:space="preserve"> • N/A: 5 – 35 °C 
 • funkcie: detekcia otvorenia okna 
 • N/A: 3 prevádzkové režimy (manuálny / podľa programu / neprítomnosť) 
 • wifi: áno (2,4 GHz) 
 • použitie: Smart Life 
 • Android kompatibilita: áno 
 • iOS kompatibilita: áno 
 • displej: LCD 
 • programovateľné: 7 dní, 4 programovateľné spínacie body/deň 
 • Rf dosah na otvorenom teréne: ~30 m 
 • frekvencia: 868 MHz 
 • meranie: 0.5 °C presnosť 
 • ochrana proti zamrznutiu: áno, dá sa nastaviť  5-15°C 
 • umiestnenie na stenu: áno 
 • príslušenstvo: hmoždinky, skrutky 
 • IP ochrana: IP20</t>
        </is>
      </c>
    </row>
    <row r="1852">
      <c r="A1852" s="3" t="inlineStr">
        <is>
          <t>THE25W</t>
        </is>
      </c>
      <c r="B1852" s="2" t="inlineStr">
        <is>
          <t>Digitálny termostat, programovateľný, biely</t>
        </is>
      </c>
      <c r="C1852" s="1" t="n">
        <v>36.89</v>
      </c>
      <c r="D1852" s="7" t="n">
        <f>HYPERLINK("https://www.somogyi.sk/product/digitalny-termostat-programovatelny-biely-the25w-18552","https://www.somogyi.sk/product/digitalny-termostat-programovatelny-biely-the25w-18552")</f>
        <v>0.0</v>
      </c>
      <c r="E1852" s="7" t="n">
        <f>HYPERLINK("https://www.somogyi.sk/data/img/product_main_images/small/18552.jpg","https://www.somogyi.sk/data/img/product_main_images/small/18552.jpg")</f>
        <v>0.0</v>
      </c>
      <c r="F1852" s="2" t="inlineStr">
        <is>
          <t>5999084965709</t>
        </is>
      </c>
      <c r="G1852" s="4" t="inlineStr">
        <is>
          <t xml:space="preserve"> • N/A: 5 – 35 °C 
 • funkcie: detekcia otvorenia okna 
 • N/A: 3 prevádzkové režimy (manuálny / podľa programu / neprítomnosť) 
 • displej: LCD 
 • programovateľné: 7 dní, 4 programovateľné spínacie body/deň 
 • meranie: 0.5 °C presnosť 
 • ochrana proti zamrznutiu: áno, dá sa nastaviť  5-15°C 
 • umiestnenie na stenu: áno 
 • príslušenstvo: hmoždinky, skrutky 
 • IP ochrana: IP20 
 • napájanie: 2 x 1,5 V (AAA) batéria, nie je príslušenstvom 
 • rozmery: 13,5 x 8,7 x 2,3 cm</t>
        </is>
      </c>
    </row>
    <row r="1853">
      <c r="A1853" s="3" t="inlineStr">
        <is>
          <t>THES25BWIFI</t>
        </is>
      </c>
      <c r="B1853" s="2" t="inlineStr">
        <is>
          <t>Smart termostat, čierny</t>
        </is>
      </c>
      <c r="C1853" s="1" t="n">
        <v>90.69</v>
      </c>
      <c r="D1853" s="7" t="n">
        <f>HYPERLINK("https://www.somogyi.sk/product/smart-termostat-cierny-thes25bwifi-18553","https://www.somogyi.sk/product/smart-termostat-cierny-thes25bwifi-18553")</f>
        <v>0.0</v>
      </c>
      <c r="E1853" s="7" t="n">
        <f>HYPERLINK("https://www.somogyi.sk/data/img/product_main_images/small/18553.jpg","https://www.somogyi.sk/data/img/product_main_images/small/18553.jpg")</f>
        <v>0.0</v>
      </c>
      <c r="F1853" s="2" t="inlineStr">
        <is>
          <t>5999084965716</t>
        </is>
      </c>
      <c r="G1853" s="4" t="inlineStr">
        <is>
          <t xml:space="preserve"> • N/A: 5 – 35 °C 
 • funkcie: detekcia otvorenia okna 
 • N/A: 3 prevádzkové režimy (manuálny / podľa programu / neprítomnosť) 
 • wifi: áno (2,4 GHz) 
 • použitie: Smart Life 
 • Android kompatibilita: áno 
 • iOS kompatibilita: áno 
 • displej: LCD 
 • programovateľné: 7 dní, 4 programovateľné spínacie body/deň 
 • Rf dosah na otvorenom teréne: ~30 m 
 • frekvencia: 868 MHz 
 • meranie: 0.5 °C presnosť 
 • ochrana proti zamrznutiu: áno, dá sa nastaviť  5-15°C 
 • umiestnenie na stenu: áno 
 • príslušenstvo: hmoždinky, skrutky 
 • IP ochrana: IP20</t>
        </is>
      </c>
    </row>
    <row r="1854">
      <c r="A1854" s="3" t="inlineStr">
        <is>
          <t>THE25B</t>
        </is>
      </c>
      <c r="B1854" s="2" t="inlineStr">
        <is>
          <t>Digitálny termostat, programovateľný, čierny</t>
        </is>
      </c>
      <c r="C1854" s="1" t="n">
        <v>36.89</v>
      </c>
      <c r="D1854" s="7" t="n">
        <f>HYPERLINK("https://www.somogyi.sk/product/digitalny-termostat-programovatelny-cierny-the25b-18551","https://www.somogyi.sk/product/digitalny-termostat-programovatelny-cierny-the25b-18551")</f>
        <v>0.0</v>
      </c>
      <c r="E1854" s="7" t="n">
        <f>HYPERLINK("https://www.somogyi.sk/data/img/product_main_images/small/18551.jpg","https://www.somogyi.sk/data/img/product_main_images/small/18551.jpg")</f>
        <v>0.0</v>
      </c>
      <c r="F1854" s="2" t="inlineStr">
        <is>
          <t>5999084965693</t>
        </is>
      </c>
      <c r="G1854" s="4" t="inlineStr">
        <is>
          <t xml:space="preserve"> • N/A: 5 – 35 °C 
 • funkcie: detekcia otvorenia okna 
 • N/A: 3 prevádzkové režimy (manuálny / podľa programu / neprítomnosť) 
 • displej: LCD 
 • programovateľné: 7 dní, 4 programovateľné spínacie body/deň 
 • meranie: 0.5 °C presnosť 
 • ochrana proti zamrznutiu: áno, dá sa nastaviť 5-15°C 
 • umiestnenie na stenu: áno 
 • príslušenstvo: hmoždinky, skrutky 
 • IP ochrana: IP20 
 • napájanie: 2 x 1,5 V (AAA) batéria, nie je príslušenstvom 
 • rozmery: 13,5 x 8,7 x 2,3 cm</t>
        </is>
      </c>
    </row>
    <row r="1855">
      <c r="A1855" s="6" t="inlineStr">
        <is>
          <t xml:space="preserve">   Vykurovanie, Odvlhčovanie / Elektrický odvlhčovač</t>
        </is>
      </c>
      <c r="B1855" s="6" t="inlineStr">
        <is>
          <t/>
        </is>
      </c>
      <c r="C1855" s="6" t="inlineStr">
        <is>
          <t/>
        </is>
      </c>
      <c r="D1855" s="6" t="inlineStr">
        <is>
          <t/>
        </is>
      </c>
      <c r="E1855" s="6" t="inlineStr">
        <is>
          <t/>
        </is>
      </c>
      <c r="F1855" s="6" t="inlineStr">
        <is>
          <t/>
        </is>
      </c>
      <c r="G1855" s="6" t="inlineStr">
        <is>
          <t/>
        </is>
      </c>
    </row>
    <row r="1856">
      <c r="A1856" s="3" t="inlineStr">
        <is>
          <t>DHM 300</t>
        </is>
      </c>
      <c r="B1856" s="2" t="inlineStr">
        <is>
          <t>Odvlhčovač</t>
        </is>
      </c>
      <c r="C1856" s="1" t="n">
        <v>52.79</v>
      </c>
      <c r="D1856" s="7" t="n">
        <f>HYPERLINK("https://www.somogyi.sk/product/odvlhcovac-dhm-300-16754","https://www.somogyi.sk/product/odvlhcovac-dhm-300-16754")</f>
        <v>0.0</v>
      </c>
      <c r="E1856" s="7" t="n">
        <f>HYPERLINK("https://www.somogyi.sk/data/img/product_main_images/small/16754.jpg","https://www.somogyi.sk/data/img/product_main_images/small/16754.jpg")</f>
        <v>0.0</v>
      </c>
      <c r="F1856" s="2" t="inlineStr">
        <is>
          <t>5999084947866</t>
        </is>
      </c>
      <c r="G1856" s="4" t="inlineStr">
        <is>
          <t xml:space="preserve"> • kapacita odvlhčovania: 300 ml / 24 h 
 • nádrž na vodu: 0,5 l 
 • výkon: 27 W 
 • dĺžka napájacieho kábla: 1,5 m 
 • napájanie: 230 V~  / 50 Hz 
 • ďalšie informácie: Peltier systém (bez kompresora) 
 • rozmery: 15 x 22 x 13 cm 
 • hmotnosť: 1 kg</t>
        </is>
      </c>
    </row>
    <row r="1857">
      <c r="A1857" s="3" t="inlineStr">
        <is>
          <t>DHM 710</t>
        </is>
      </c>
      <c r="B1857" s="2" t="inlineStr">
        <is>
          <t>Odvlhčovač</t>
        </is>
      </c>
      <c r="C1857" s="1" t="n">
        <v>79.39</v>
      </c>
      <c r="D1857" s="7" t="n">
        <f>HYPERLINK("https://www.somogyi.sk/product/odvlhcovac-dhm-710-17776","https://www.somogyi.sk/product/odvlhcovac-dhm-710-17776")</f>
        <v>0.0</v>
      </c>
      <c r="E1857" s="7" t="n">
        <f>HYPERLINK("https://www.somogyi.sk/data/img/product_main_images/small/17776.jpg","https://www.somogyi.sk/data/img/product_main_images/small/17776.jpg")</f>
        <v>0.0</v>
      </c>
      <c r="F1857" s="2" t="inlineStr">
        <is>
          <t>5999084957988</t>
        </is>
      </c>
      <c r="G1857" s="4" t="inlineStr">
        <is>
          <t xml:space="preserve"> • kapacita odvlhčovania: max. 700 ml/nap (25 °C, 85% RH) 
 • nádrž na vodu: 1,65 l 
 • vývodná hadica: áno 
 • výkon: 72 W 
 • hlučnosť: 45 dB(A) 
 • napájanie: 220-240 V~ / 50 Hz 
 • ďalšie informácie: Peltier systém (bez kompresora) 
 • rozmery: 24 x 36 x 12 cm 
 • hmotnosť: 1,85 kg</t>
        </is>
      </c>
    </row>
    <row r="1858">
      <c r="A1858" s="3" t="inlineStr">
        <is>
          <t>DHM 10LR</t>
        </is>
      </c>
      <c r="B1858" s="2" t="inlineStr">
        <is>
          <t>Odvlhčovač, max. 10 liter / 24 h, 230 V~, R29</t>
        </is>
      </c>
      <c r="C1858" s="1" t="n">
        <v>176.9</v>
      </c>
      <c r="D1858" s="7" t="n">
        <f>HYPERLINK("https://www.somogyi.sk/product/odvlhcovac-max-10-liter-24-h-230-v-r29-dhm-10lr-17061","https://www.somogyi.sk/product/odvlhcovac-max-10-liter-24-h-230-v-r29-dhm-10lr-17061")</f>
        <v>0.0</v>
      </c>
      <c r="E1858" s="7" t="n">
        <f>HYPERLINK("https://www.somogyi.sk/data/img/product_main_images/small/17061.jpg","https://www.somogyi.sk/data/img/product_main_images/small/17061.jpg")</f>
        <v>0.0</v>
      </c>
      <c r="F1858" s="2" t="inlineStr">
        <is>
          <t>5999084950934</t>
        </is>
      </c>
      <c r="G1858" s="4" t="inlineStr">
        <is>
          <t xml:space="preserve"> • kapacita odvlhčovania: 10 L / 24 h (30°C, RH: 80%),  
 •  5 L / 24 h (27°C, RH: 60% 
 • rozmer miestnosti: 10 - 20 m² 
 • nastaviteľná vlhkosť vzduchu: nastaviteľná vlhkosť vzduchu (30% – 80% RH) 
 • časovač vypnutia: na 1-24 h dobu, v hodinových krokoch 
 • nádrž na vodu: 2,2 l 
 • chladiace médium: chladiace médium R290 
 • vývodná hadica: áno 
 • pojazdné kolieska: áno 
 • výkon: 200 W menovitý/ 245 W maximálny 
 • hlučnosť: 45 dB(A) 
 • dĺžka napájacieho kábla: 1,8 m 
 • napájanie: 230 V~ / 50 Hz 
 • rozmery: 28,4 x 48 x 24 cm 
 • hmotnosť: 9 kg</t>
        </is>
      </c>
    </row>
    <row r="1859">
      <c r="A1859" s="3" t="inlineStr">
        <is>
          <t>TP SMALL</t>
        </is>
      </c>
      <c r="B1859" s="2" t="inlineStr">
        <is>
          <t>Odvlhčovač</t>
        </is>
      </c>
      <c r="C1859" s="1" t="n">
        <v>361.9</v>
      </c>
      <c r="D1859" s="7" t="n">
        <f>HYPERLINK("https://www.somogyi.sk/product/odvlhcovac-tp-small-16879","https://www.somogyi.sk/product/odvlhcovac-tp-small-16879")</f>
        <v>0.0</v>
      </c>
      <c r="E1859" s="7" t="n">
        <f>HYPERLINK("https://www.somogyi.sk/data/img/product_main_images/small/16879.jpg","https://www.somogyi.sk/data/img/product_main_images/small/16879.jpg")</f>
        <v>0.0</v>
      </c>
      <c r="F1859" s="2" t="inlineStr">
        <is>
          <t>4895007939882</t>
        </is>
      </c>
      <c r="G1859" s="4" t="inlineStr">
        <is>
          <t xml:space="preserve"> • kapacita odvlhčovania: 24 L / 24 h 
 • nastaviteľná vlhkosť vzduchu: nastaviteľná vlhkosť: 30-90% RH 
 • časovač vypnutia: 24 h časovač 
 • nádrž na vodu: 3,3 l 
 • chladiace médium: chladiace médium R290 
 • vývodná hadica: áno 
 • pojazdné kolieska: áno 
 • výkon: 270 W 
 • hlučnosť: 49,5 dB(A) 
 • napájanie: 230 V~  / 50 Hz 
 • ďalšie informácie: digitálny ovládací panel, držiak kábla, rukoväť, umývateľný prachový filter 
 • rozmery: 33,5 x 26,7 x 51,1 cm 
 • hmotnosť: 14,8 kg</t>
        </is>
      </c>
    </row>
    <row r="1860">
      <c r="A1860" s="6" t="inlineStr">
        <is>
          <t xml:space="preserve">   Vykurovanie, Odvlhčovanie / Zvlhčovač</t>
        </is>
      </c>
      <c r="B1860" s="6" t="inlineStr">
        <is>
          <t/>
        </is>
      </c>
      <c r="C1860" s="6" t="inlineStr">
        <is>
          <t/>
        </is>
      </c>
      <c r="D1860" s="6" t="inlineStr">
        <is>
          <t/>
        </is>
      </c>
      <c r="E1860" s="6" t="inlineStr">
        <is>
          <t/>
        </is>
      </c>
      <c r="F1860" s="6" t="inlineStr">
        <is>
          <t/>
        </is>
      </c>
      <c r="G1860" s="6" t="inlineStr">
        <is>
          <t/>
        </is>
      </c>
    </row>
    <row r="1861">
      <c r="A1861" s="3" t="inlineStr">
        <is>
          <t>UHP 4000B</t>
        </is>
      </c>
      <c r="B1861" s="2" t="inlineStr">
        <is>
          <t>Ultrazvukový studený zvlhčovač vzduchu</t>
        </is>
      </c>
      <c r="C1861" s="1" t="n">
        <v>54.39</v>
      </c>
      <c r="D1861" s="7" t="n">
        <f>HYPERLINK("https://www.somogyi.sk/product/ultrazvukovy-studeny-zvlhcovac-vzduchu-uhp-4000b-17912","https://www.somogyi.sk/product/ultrazvukovy-studeny-zvlhcovac-vzduchu-uhp-4000b-17912")</f>
        <v>0.0</v>
      </c>
      <c r="E1861" s="7" t="n">
        <f>HYPERLINK("https://www.somogyi.sk/data/img/product_main_images/small/17912.jpg","https://www.somogyi.sk/data/img/product_main_images/small/17912.jpg")</f>
        <v>0.0</v>
      </c>
      <c r="F1861" s="2" t="inlineStr">
        <is>
          <t>5999084959340</t>
        </is>
      </c>
      <c r="G1861" s="4" t="inlineStr">
        <is>
          <t xml:space="preserve"> • funkcie: 3 stupne zvlhčovania, rôznofarebná kontrolka 
 • N/A: max. 250 ml/h 
 • odporúčaná veľkosť miestnosti: max. 40 m² 
 • nádrž na vodu: 4 l 
 • hlučnosť: 35 dB(A) 
 • výkon: 30 W 
 • rozmery: 23,5 x 33 x 12,5 cm 
 • napájanie: 230 V~ / 50 Hz 
 • N/A: odporúča sa použiť destilovanú vodu</t>
        </is>
      </c>
    </row>
    <row r="1862">
      <c r="A1862" s="3" t="inlineStr">
        <is>
          <t>AD 15 P</t>
        </is>
      </c>
      <c r="B1862" s="2" t="inlineStr">
        <is>
          <t>Aromatický difuzér, rozprašovač</t>
        </is>
      </c>
      <c r="C1862" s="1" t="n">
        <v>34.29</v>
      </c>
      <c r="D1862" s="7" t="n">
        <f>HYPERLINK("https://www.somogyi.sk/product/aromaticky-difuzer-rozprasovac-ad-15-p-17567","https://www.somogyi.sk/product/aromaticky-difuzer-rozprasovac-ad-15-p-17567")</f>
        <v>0.0</v>
      </c>
      <c r="E1862" s="7" t="n">
        <f>HYPERLINK("https://www.somogyi.sk/data/img/product_main_images/small/17567.jpg","https://www.somogyi.sk/data/img/product_main_images/small/17567.jpg")</f>
        <v>0.0</v>
      </c>
      <c r="F1862" s="2" t="inlineStr">
        <is>
          <t>5999084955892</t>
        </is>
      </c>
      <c r="G1862" s="4" t="inlineStr">
        <is>
          <t xml:space="preserve"> • prevádzka: mechanický 
 •  
 •  
 • rozmery: ∅11,5 x 21 cm 
 • napájanie: sieťový adaptér na vnútorné použitie je príslušenstvom</t>
        </is>
      </c>
    </row>
    <row r="1863">
      <c r="A1863" s="3" t="inlineStr">
        <is>
          <t>AD 200F</t>
        </is>
      </c>
      <c r="B1863" s="2" t="inlineStr">
        <is>
          <t>Aromatický difuzér, flame" efekt</t>
        </is>
      </c>
      <c r="C1863" s="1" t="n">
        <v>42.99</v>
      </c>
      <c r="D1863" s="7" t="n">
        <f>HYPERLINK("https://www.somogyi.sk/product/aromaticky-difuzer-flame-efekt-ad-200f-17847","https://www.somogyi.sk/product/aromaticky-difuzer-flame-efekt-ad-200f-17847")</f>
        <v>0.0</v>
      </c>
      <c r="E1863" s="7" t="n">
        <f>HYPERLINK("https://www.somogyi.sk/data/img/product_main_images/small/17847.jpg","https://www.somogyi.sk/data/img/product_main_images/small/17847.jpg")</f>
        <v>0.0</v>
      </c>
      <c r="F1863" s="2" t="inlineStr">
        <is>
          <t>5999084958695</t>
        </is>
      </c>
      <c r="G1863" s="4" t="inlineStr">
        <is>
          <t xml:space="preserve"> • ultrazvukový studený zvlhčovač vzduchu, aromatický difuzér s teplým bielym plameňovým efektom a dekoračným svetlom. 
 • kapacita nádoby: 200 ml 
 • voliteľné dve svietivosti alebo pulzujúce svetlo 
 • samostatné používanie zvlhčovania 
 • pri nedostatku vody sa vypne zvlhčovanie aj osvetlenie 
 • sieťový adaptér je príslušenstvom 
 • rozmery: 20 x 13 x 8 cm</t>
        </is>
      </c>
    </row>
    <row r="1864">
      <c r="A1864" s="3" t="inlineStr">
        <is>
          <t>AD 280</t>
        </is>
      </c>
      <c r="B1864" s="2" t="inlineStr">
        <is>
          <t>Aromatický difuzér, ultrazvukový</t>
        </is>
      </c>
      <c r="C1864" s="1" t="n">
        <v>44.39</v>
      </c>
      <c r="D1864" s="7" t="n">
        <f>HYPERLINK("https://www.somogyi.sk/product/aromaticky-difuzer-ultrazvukovy-ad-280-17569","https://www.somogyi.sk/product/aromaticky-difuzer-ultrazvukovy-ad-280-17569")</f>
        <v>0.0</v>
      </c>
      <c r="E1864" s="7" t="n">
        <f>HYPERLINK("https://www.somogyi.sk/data/img/product_main_images/small/17569.jpg","https://www.somogyi.sk/data/img/product_main_images/small/17569.jpg")</f>
        <v>0.0</v>
      </c>
      <c r="F1864" s="2" t="inlineStr">
        <is>
          <t>5999084955915</t>
        </is>
      </c>
      <c r="G1864" s="4" t="inlineStr">
        <is>
          <t xml:space="preserve"> • prevádzka: ultrazvuk 
 • charakteristiky: nepretržité alebo prerušované zvlhčovanie (30 sekúnd zapnuté / 30 sekúnd vypnuté) / LED kontrolky 
 • N/A: 15 – 20 ml / h (podľa režimu a prostredia) 
 • nádrž na vodu: 280 ml 
 •  
 • rozmery: ∅146 x 132 mm</t>
        </is>
      </c>
    </row>
    <row r="1865">
      <c r="A1865" s="3" t="inlineStr">
        <is>
          <t>AD 200</t>
        </is>
      </c>
      <c r="B1865" s="2" t="inlineStr">
        <is>
          <t>Aromatický difuzér</t>
        </is>
      </c>
      <c r="C1865" s="1" t="n">
        <v>29.29</v>
      </c>
      <c r="D1865" s="7" t="n">
        <f>HYPERLINK("https://www.somogyi.sk/product/aromaticky-difuzer-ad-200-17565","https://www.somogyi.sk/product/aromaticky-difuzer-ad-200-17565")</f>
        <v>0.0</v>
      </c>
      <c r="E1865" s="7" t="n">
        <f>HYPERLINK("https://www.somogyi.sk/data/img/product_main_images/small/17565.jpg","https://www.somogyi.sk/data/img/product_main_images/small/17565.jpg")</f>
        <v>0.0</v>
      </c>
      <c r="F1865" s="2" t="inlineStr">
        <is>
          <t>5999084955878</t>
        </is>
      </c>
      <c r="G1865" s="4" t="inlineStr">
        <is>
          <t xml:space="preserve"> • prevádzka: ultrazvuk 
 • charakteristiky: nepretržité alebo prerušované zvlhčovanie (30 sekúnd zapnuté / 30 sekúnd vypnuté) / LED kontrolky 
 • materiál: bambusový podstavec a kryt 
 • N/A: 20-30 ml / h (podľa režimu a prostredia) 
 • nádrž na vodu: 200 ml 
 •  
 •  
 • rozmery: 102 x 102 x 130 mm</t>
        </is>
      </c>
    </row>
    <row r="1866">
      <c r="A1866" s="3" t="inlineStr">
        <is>
          <t>AD 500</t>
        </is>
      </c>
      <c r="B1866" s="2" t="inlineStr">
        <is>
          <t>Aromatický difuzér, ultrazvukový</t>
        </is>
      </c>
      <c r="C1866" s="1" t="n">
        <v>56.69</v>
      </c>
      <c r="D1866" s="7" t="n">
        <f>HYPERLINK("https://www.somogyi.sk/product/aromaticky-difuzer-ultrazvukovy-ad-500-17568","https://www.somogyi.sk/product/aromaticky-difuzer-ultrazvukovy-ad-500-17568")</f>
        <v>0.0</v>
      </c>
      <c r="E1866" s="7" t="n">
        <f>HYPERLINK("https://www.somogyi.sk/data/img/product_main_images/small/17568.jpg","https://www.somogyi.sk/data/img/product_main_images/small/17568.jpg")</f>
        <v>0.0</v>
      </c>
      <c r="F1866" s="2" t="inlineStr">
        <is>
          <t>5999084955908</t>
        </is>
      </c>
      <c r="G1866" s="4" t="inlineStr">
        <is>
          <t xml:space="preserve"> • prevádzka: ultrazvuk 
 • charakteristiky: nepretržité alebo prerušované zvlhčovanie (30 sekúnd zapnuté / 30 sekúnd vypnuté) / LED kontrolky 
 • N/A: 20-30 ml / h (podľa režimu a prostredia) 
 • nádrž na vodu: 500 ml 
 • časovač: časovač vypnutia 1/3/6 h 
 • rozmery: ∅180 x 157 mm 
 • napájanie: sieťový adaptér na vnútorné použitie je príslušenstvom</t>
        </is>
      </c>
    </row>
    <row r="1867">
      <c r="A1867" s="6" t="inlineStr">
        <is>
          <t xml:space="preserve">   Vykurovanie, Odvlhčovanie / Ohrievací koberec</t>
        </is>
      </c>
      <c r="B1867" s="6" t="inlineStr">
        <is>
          <t/>
        </is>
      </c>
      <c r="C1867" s="6" t="inlineStr">
        <is>
          <t/>
        </is>
      </c>
      <c r="D1867" s="6" t="inlineStr">
        <is>
          <t/>
        </is>
      </c>
      <c r="E1867" s="6" t="inlineStr">
        <is>
          <t/>
        </is>
      </c>
      <c r="F1867" s="6" t="inlineStr">
        <is>
          <t/>
        </is>
      </c>
      <c r="G1867" s="6" t="inlineStr">
        <is>
          <t/>
        </is>
      </c>
    </row>
    <row r="1868">
      <c r="A1868" s="3" t="inlineStr">
        <is>
          <t>FHW030</t>
        </is>
      </c>
      <c r="B1868" s="2" t="inlineStr">
        <is>
          <t>Vykurovacia rohož pod teplú krytinu</t>
        </is>
      </c>
      <c r="C1868" s="1" t="n">
        <v>109.9</v>
      </c>
      <c r="D1868" s="7" t="n">
        <f>HYPERLINK("https://www.somogyi.sk/product/vykurovacia-rohoz-pod-teplu-krytinu-fhw030-18890","https://www.somogyi.sk/product/vykurovacia-rohoz-pod-teplu-krytinu-fhw030-18890")</f>
        <v>0.0</v>
      </c>
      <c r="E1868" s="7" t="n">
        <f>HYPERLINK("https://www.somogyi.sk/data/img/product_main_images/small/18890.jpg","https://www.somogyi.sk/data/img/product_main_images/small/18890.jpg")</f>
        <v>0.0</v>
      </c>
      <c r="F1868" s="2" t="inlineStr">
        <is>
          <t>5999084968854</t>
        </is>
      </c>
      <c r="G1868"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6 m 
 • N/A: 3 m² 
 • napájanie: 230 V~ / 50 Hz 
 • N/A: 450 W 
 • odpor: 117,6 Ω 
 • N/A: Pri plánovaní konkrétnej plochy zvážte, že vykurovaciu rohož nie je možné strihať na menší rozmer!</t>
        </is>
      </c>
    </row>
    <row r="1869">
      <c r="A1869" s="3" t="inlineStr">
        <is>
          <t>FHC080</t>
        </is>
      </c>
      <c r="B1869" s="2" t="inlineStr">
        <is>
          <t>Vykurovacia rohož pod studenú krytinu</t>
        </is>
      </c>
      <c r="C1869" s="1" t="n">
        <v>163.9</v>
      </c>
      <c r="D1869" s="7" t="n">
        <f>HYPERLINK("https://www.somogyi.sk/product/vykurovacia-rohoz-pod-studenu-krytinu-fhc080-18880","https://www.somogyi.sk/product/vykurovacia-rohoz-pod-studenu-krytinu-fhc080-18880")</f>
        <v>0.0</v>
      </c>
      <c r="E1869" s="7" t="n">
        <f>HYPERLINK("https://www.somogyi.sk/data/img/product_main_images/small/18880.jpg","https://www.somogyi.sk/data/img/product_main_images/small/18880.jpg")</f>
        <v>0.0</v>
      </c>
      <c r="F1869" s="2" t="inlineStr">
        <is>
          <t>5999084968755</t>
        </is>
      </c>
      <c r="G1869"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16 m 
 • N/A: 8 m² 
 • napájanie: 1200 W 
 • N/A: 1200 W 
 • odpor: 44,1 Ω 
 • N/A: Pri plánovaní konkrétnej plochy zvážte, že vykurovaciu rohož nie je možné strihať na menší rozmer!</t>
        </is>
      </c>
    </row>
    <row r="1870">
      <c r="A1870" s="3" t="inlineStr">
        <is>
          <t>FHC020</t>
        </is>
      </c>
      <c r="B1870" s="2" t="inlineStr">
        <is>
          <t>Vykurovacia rohož pod studenú krytinu</t>
        </is>
      </c>
      <c r="C1870" s="1" t="n">
        <v>59.59</v>
      </c>
      <c r="D1870" s="7" t="n">
        <f>HYPERLINK("https://www.somogyi.sk/product/vykurovacia-rohoz-pod-studenu-krytinu-fhc020-18872","https://www.somogyi.sk/product/vykurovacia-rohoz-pod-studenu-krytinu-fhc020-18872")</f>
        <v>0.0</v>
      </c>
      <c r="E1870" s="7" t="n">
        <f>HYPERLINK("https://www.somogyi.sk/data/img/product_main_images/small/18872.jpg","https://www.somogyi.sk/data/img/product_main_images/small/18872.jpg")</f>
        <v>0.0</v>
      </c>
      <c r="F1870" s="2" t="inlineStr">
        <is>
          <t>5999084968670</t>
        </is>
      </c>
      <c r="G1870"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4 m 
 • N/A: 2 m² 
 • napájanie: 230 V~ / 50 Hz 
 • N/A: 300 W 
 • odpor: 176,3 Ω 
 • N/A: Pri plánovaní konkrétnej plochy zvážte, že vykurovaciu rohož nie je možné strihať na menší rozmer!</t>
        </is>
      </c>
    </row>
    <row r="1871">
      <c r="A1871" s="3" t="inlineStr">
        <is>
          <t>FHC050</t>
        </is>
      </c>
      <c r="B1871" s="2" t="inlineStr">
        <is>
          <t>Vykurovacia rohož pod studenú krytinu</t>
        </is>
      </c>
      <c r="C1871" s="1" t="n">
        <v>115.9</v>
      </c>
      <c r="D1871" s="7" t="n">
        <f>HYPERLINK("https://www.somogyi.sk/product/vykurovacia-rohoz-pod-studenu-krytinu-fhc050-18877","https://www.somogyi.sk/product/vykurovacia-rohoz-pod-studenu-krytinu-fhc050-18877")</f>
        <v>0.0</v>
      </c>
      <c r="E1871" s="7" t="n">
        <f>HYPERLINK("https://www.somogyi.sk/data/img/product_main_images/small/18877.jpg","https://www.somogyi.sk/data/img/product_main_images/small/18877.jpg")</f>
        <v>0.0</v>
      </c>
      <c r="F1871" s="2" t="inlineStr">
        <is>
          <t>5999084968724</t>
        </is>
      </c>
      <c r="G1871"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10 m 
 • N/A: 5 m² 
 • napájanie: 230 V~ / 50 Hz 
 • N/A: 750 W 
 • odpor: 705,3 Ω 
 • N/A: Pri plánovaní konkrétnej plochy zvážte, že vykurovaciu rohož nie je možné strihať na menší rozmer!</t>
        </is>
      </c>
    </row>
    <row r="1872">
      <c r="A1872" s="3" t="inlineStr">
        <is>
          <t>FHW010</t>
        </is>
      </c>
      <c r="B1872" s="2" t="inlineStr">
        <is>
          <t>Vykurovacia rohož pod teplú krytinu</t>
        </is>
      </c>
      <c r="C1872" s="1" t="n">
        <v>47.29</v>
      </c>
      <c r="D1872" s="7" t="n">
        <f>HYPERLINK("https://www.somogyi.sk/product/vykurovacia-rohoz-pod-teplu-krytinu-fhw010-18886","https://www.somogyi.sk/product/vykurovacia-rohoz-pod-teplu-krytinu-fhw010-18886")</f>
        <v>0.0</v>
      </c>
      <c r="E1872" s="7" t="n">
        <f>HYPERLINK("https://www.somogyi.sk/data/img/product_main_images/small/18886.jpg","https://www.somogyi.sk/data/img/product_main_images/small/18886.jpg")</f>
        <v>0.0</v>
      </c>
      <c r="F1872" s="2" t="inlineStr">
        <is>
          <t>5999084968816</t>
        </is>
      </c>
      <c r="G1872"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2 m 
 • N/A: 1 m² 
 • napájanie: 230 V~ / 50 Hz 
 • N/A: 150 W 
 • odpor: 352,7 Ω 
 • N/A: Pri plánovaní konkrétnej plochy zvážte, že vykurovaciu rohož nie je možné strihať na menší rozmer!</t>
        </is>
      </c>
    </row>
    <row r="1873">
      <c r="A1873" s="3" t="inlineStr">
        <is>
          <t>FHC030</t>
        </is>
      </c>
      <c r="B1873" s="2" t="inlineStr">
        <is>
          <t>Vykurovacia rohož pod studenú krytinu</t>
        </is>
      </c>
      <c r="C1873" s="1" t="n">
        <v>67.99</v>
      </c>
      <c r="D1873" s="7" t="n">
        <f>HYPERLINK("https://www.somogyi.sk/product/vykurovacia-rohoz-pod-studenu-krytinu-fhc030-18874","https://www.somogyi.sk/product/vykurovacia-rohoz-pod-studenu-krytinu-fhc030-18874")</f>
        <v>0.0</v>
      </c>
      <c r="E1873" s="7" t="n">
        <f>HYPERLINK("https://www.somogyi.sk/data/img/product_main_images/small/18874.jpg","https://www.somogyi.sk/data/img/product_main_images/small/18874.jpg")</f>
        <v>0.0</v>
      </c>
      <c r="F1873" s="2" t="inlineStr">
        <is>
          <t>5999084968694</t>
        </is>
      </c>
      <c r="G1873"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6 m 
 • N/A: 3 m² 
 • napájanie: 230 V~ / 50 Hz 
 • N/A: 450 W 
 • odpor: 117,6 Ω 
 • N/A: Pri plánovaní konkrétnej plochy zvážte, že vykurovaciu rohož nie je možné strihať na menší rozmer!</t>
        </is>
      </c>
    </row>
    <row r="1874">
      <c r="A1874" s="3" t="inlineStr">
        <is>
          <t>FHC100</t>
        </is>
      </c>
      <c r="B1874" s="2" t="inlineStr">
        <is>
          <t>Vykurovacia rohož pod studenú krytinu</t>
        </is>
      </c>
      <c r="C1874" s="1" t="n">
        <v>197.9</v>
      </c>
      <c r="D1874" s="7" t="n">
        <f>HYPERLINK("https://www.somogyi.sk/product/vykurovacia-rohoz-pod-studenu-krytinu-fhc100-18882","https://www.somogyi.sk/product/vykurovacia-rohoz-pod-studenu-krytinu-fhc100-18882")</f>
        <v>0.0</v>
      </c>
      <c r="E1874" s="7" t="n">
        <f>HYPERLINK("https://www.somogyi.sk/data/img/product_main_images/small/18882.jpg","https://www.somogyi.sk/data/img/product_main_images/small/18882.jpg")</f>
        <v>0.0</v>
      </c>
      <c r="F1874" s="2" t="inlineStr">
        <is>
          <t>5999084968779</t>
        </is>
      </c>
      <c r="G1874" s="4" t="inlineStr">
        <is>
          <t xml:space="preserve"> • charakteristiky: dvojžilový vykurovací kábel, jednostranné elektrické pripojenie 
 • N/A: 150 W/m² 
 • N/A: 4 mm 
 • N/A: cca. 8 cm 
 • N/A: 2,5 m (dvojžilový   uzemnenie) 
 • N/A: odporúčané ovládanie inteligentným termostatom Home FHT76WIFI 
 • šírka: 0,5 m 
 • dĺžka: 20 m 
 • N/A: 10 m² 
 • napájanie: 230 V~  / 50 Hz 
 • N/A: 1500 W 
 • odpor: 32,1 Ω 
 • N/A: Pri plánovaní konkrétnej plochy zvážte, že vykurovaciu rohož nie je možné strihať na menší rozmer!</t>
        </is>
      </c>
    </row>
    <row r="1875">
      <c r="A1875" s="3" t="inlineStr">
        <is>
          <t>FHC035</t>
        </is>
      </c>
      <c r="B1875" s="2" t="inlineStr">
        <is>
          <t>Vykurovacia rohož pod studenú krytinu</t>
        </is>
      </c>
      <c r="C1875" s="1" t="n">
        <v>79.59</v>
      </c>
      <c r="D1875" s="7" t="n">
        <f>HYPERLINK("https://www.somogyi.sk/product/vykurovacia-rohoz-pod-studenu-krytinu-fhc035-18875","https://www.somogyi.sk/product/vykurovacia-rohoz-pod-studenu-krytinu-fhc035-18875")</f>
        <v>0.0</v>
      </c>
      <c r="E1875" s="7" t="n">
        <f>HYPERLINK("https://www.somogyi.sk/data/img/product_main_images/small/18875.jpg","https://www.somogyi.sk/data/img/product_main_images/small/18875.jpg")</f>
        <v>0.0</v>
      </c>
      <c r="F1875" s="2" t="inlineStr">
        <is>
          <t>5999084968700</t>
        </is>
      </c>
      <c r="G1875"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7 m 
 • N/A: 3,5 m² 
 • napájanie: 230 V~ / 50 Hz 
 • N/A: 525 W 
 • odpor: 100,8 Ω 
 • N/A: Pri plánovaní konkrétnej plochy zvážte, že vykurovaciu rohož nie je možné strihať na menší rozmer!</t>
        </is>
      </c>
    </row>
    <row r="1876">
      <c r="A1876" s="3" t="inlineStr">
        <is>
          <t>FHW015</t>
        </is>
      </c>
      <c r="B1876" s="2" t="inlineStr">
        <is>
          <t>Vykurovacia rohož pod teplú krytinu</t>
        </is>
      </c>
      <c r="C1876" s="1" t="n">
        <v>60.19</v>
      </c>
      <c r="D1876" s="7" t="n">
        <f>HYPERLINK("https://www.somogyi.sk/product/vykurovacia-rohoz-pod-teplu-krytinu-fhw015-18887","https://www.somogyi.sk/product/vykurovacia-rohoz-pod-teplu-krytinu-fhw015-18887")</f>
        <v>0.0</v>
      </c>
      <c r="E1876" s="7" t="n">
        <f>HYPERLINK("https://www.somogyi.sk/data/img/product_main_images/small/18887.jpg","https://www.somogyi.sk/data/img/product_main_images/small/18887.jpg")</f>
        <v>0.0</v>
      </c>
      <c r="F1876" s="2" t="inlineStr">
        <is>
          <t>5999084968823</t>
        </is>
      </c>
      <c r="G1876"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3 m 
 • N/A: 1,5 m² 
 • napájanie: 230 V~ / 50 Hz 
 • N/A: 225 W 
 • odpor: 235,1 Ω 
 • N/A: Pri plánovaní konkrétnej plochy zvážte, že vykurovaciu rohož nie je možné strihať na menší rozmer!</t>
        </is>
      </c>
    </row>
    <row r="1877">
      <c r="A1877" s="3" t="inlineStr">
        <is>
          <t>FHT76WIFI</t>
        </is>
      </c>
      <c r="B1877" s="2" t="inlineStr">
        <is>
          <t>Inteligentný terrmostat pre vykurovacie rohože</t>
        </is>
      </c>
      <c r="C1877" s="1" t="n">
        <v>53.39</v>
      </c>
      <c r="D1877" s="7" t="n">
        <f>HYPERLINK("https://www.somogyi.sk/product/inteligentny-terrmostat-pre-vykurovacie-rohoze-fht76wifi-18885","https://www.somogyi.sk/product/inteligentny-terrmostat-pre-vykurovacie-rohoze-fht76wifi-18885")</f>
        <v>0.0</v>
      </c>
      <c r="E1877" s="7" t="n">
        <f>HYPERLINK("https://www.somogyi.sk/data/img/product_main_images/small/18885.jpg","https://www.somogyi.sk/data/img/product_main_images/small/18885.jpg")</f>
        <v>0.0</v>
      </c>
      <c r="F1877" s="2" t="inlineStr">
        <is>
          <t>5999084968809</t>
        </is>
      </c>
      <c r="G1877" s="4" t="inlineStr">
        <is>
          <t xml:space="preserve"> • napájanie: 230 V~ / 50 Hz 
 • zapnuteľný výkon: max. 3680 W (16 A) 
 • N/A: medzi 5 a 60 °C, po pol stupňoch 
 • kalibrovanie: merané teploty je možné kalibrovať, je možné nastaviť hysteréziu (0,5 - 10 °C) 
 • N/A: Tuya Smart 
 • displej: podsvietenie LCD displeja 
 • detská poistka: áno 
 • rozmery: rozmery mimo steny: 86 x 86 x 17 mm</t>
        </is>
      </c>
    </row>
    <row r="1878">
      <c r="A1878" s="3" t="inlineStr">
        <is>
          <t>FHC025</t>
        </is>
      </c>
      <c r="B1878" s="2" t="inlineStr">
        <is>
          <t>Vykurovacia rohož pod studenú krytinu</t>
        </is>
      </c>
      <c r="C1878" s="1" t="n">
        <v>64.69</v>
      </c>
      <c r="D1878" s="7" t="n">
        <f>HYPERLINK("https://www.somogyi.sk/product/vykurovacia-rohoz-pod-studenu-krytinu-fhc025-18873","https://www.somogyi.sk/product/vykurovacia-rohoz-pod-studenu-krytinu-fhc025-18873")</f>
        <v>0.0</v>
      </c>
      <c r="E1878" s="7" t="n">
        <f>HYPERLINK("https://www.somogyi.sk/data/img/product_main_images/small/18873.jpg","https://www.somogyi.sk/data/img/product_main_images/small/18873.jpg")</f>
        <v>0.0</v>
      </c>
      <c r="F1878" s="2" t="inlineStr">
        <is>
          <t>5999084968687</t>
        </is>
      </c>
      <c r="G1878"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5 m 
 • N/A: 2,5 m² 
 • napájanie: 230 V~ / 50 Hz 
 • N/A: 375 W 
 • odpor: 141,1 Ω 
 • N/A: Pri plánovaní konkrétnej plochy zvážte, že vykurovaciu rohož nie je možné strihať na menší rozmer!</t>
        </is>
      </c>
    </row>
    <row r="1879">
      <c r="A1879" s="3" t="inlineStr">
        <is>
          <t>FHC005</t>
        </is>
      </c>
      <c r="B1879" s="2" t="inlineStr">
        <is>
          <t>Vykurovacia rohož pod studenú krytinu</t>
        </is>
      </c>
      <c r="C1879" s="1" t="n">
        <v>25.59</v>
      </c>
      <c r="D1879" s="7" t="n">
        <f>HYPERLINK("https://www.somogyi.sk/product/vykurovacia-rohoz-pod-studenu-krytinu-fhc005-18869","https://www.somogyi.sk/product/vykurovacia-rohoz-pod-studenu-krytinu-fhc005-18869")</f>
        <v>0.0</v>
      </c>
      <c r="E1879" s="7" t="n">
        <f>HYPERLINK("https://www.somogyi.sk/data/img/product_main_images/small/18869.jpg","https://www.somogyi.sk/data/img/product_main_images/small/18869.jpg")</f>
        <v>0.0</v>
      </c>
      <c r="F1879" s="2" t="inlineStr">
        <is>
          <t>5999084968649</t>
        </is>
      </c>
      <c r="G1879"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1 m 
 • N/A: 0,5 m 
 • napájanie: 230 V~ / 50 Hz 
 • N/A: 75 W 
 • odpor: 705,3 Ω 
 • N/A: Pri plánovaní konkrétnej plochy zvážte, že vykurovaciu rohož nie je možné strihať na menší rozmer!</t>
        </is>
      </c>
    </row>
    <row r="1880">
      <c r="A1880" s="3" t="inlineStr">
        <is>
          <t>FHC040</t>
        </is>
      </c>
      <c r="B1880" s="2" t="inlineStr">
        <is>
          <t>Vykurovacia rohož pod studenú krytinu</t>
        </is>
      </c>
      <c r="C1880" s="1" t="n">
        <v>90.29</v>
      </c>
      <c r="D1880" s="7" t="n">
        <f>HYPERLINK("https://www.somogyi.sk/product/vykurovacia-rohoz-pod-studenu-krytinu-fhc040-18876","https://www.somogyi.sk/product/vykurovacia-rohoz-pod-studenu-krytinu-fhc040-18876")</f>
        <v>0.0</v>
      </c>
      <c r="E1880" s="7" t="n">
        <f>HYPERLINK("https://www.somogyi.sk/data/img/product_main_images/small/18876.jpg","https://www.somogyi.sk/data/img/product_main_images/small/18876.jpg")</f>
        <v>0.0</v>
      </c>
      <c r="F1880" s="2" t="inlineStr">
        <is>
          <t>5999084968717</t>
        </is>
      </c>
      <c r="G1880"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8 m 
 • N/A: 4 m² 
 • napájanie: 230 V~ / 50 Hz 
 • N/A: 600 W 
 • odpor: 88,2 Ω 
 • N/A: Pri plánovaní konkrétnej plochy zvážte, že vykurovaciu rohož nie je možné strihať na menší rozmer!</t>
        </is>
      </c>
    </row>
    <row r="1881">
      <c r="A1881" s="3" t="inlineStr">
        <is>
          <t>FHW060</t>
        </is>
      </c>
      <c r="B1881" s="2" t="inlineStr">
        <is>
          <t>Vykurovacia rohož pod teplú krytinu</t>
        </is>
      </c>
      <c r="C1881" s="1" t="n">
        <v>223.9</v>
      </c>
      <c r="D1881" s="7" t="n">
        <f>HYPERLINK("https://www.somogyi.sk/product/vykurovacia-rohoz-pod-teplu-krytinu-fhw060-18893","https://www.somogyi.sk/product/vykurovacia-rohoz-pod-teplu-krytinu-fhw060-18893")</f>
        <v>0.0</v>
      </c>
      <c r="E1881" s="7" t="n">
        <f>HYPERLINK("https://www.somogyi.sk/data/img/product_main_images/small/18893.jpg","https://www.somogyi.sk/data/img/product_main_images/small/18893.jpg")</f>
        <v>0.0</v>
      </c>
      <c r="F1881" s="2" t="inlineStr">
        <is>
          <t>5999084968885</t>
        </is>
      </c>
      <c r="G1881"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12 m 
 • N/A: 6 m² 
 • napájanie: 230 V~ / 50 Hz 
 • N/A: 900 W 
 • odpor: 58,8 Ω 
 • N/A: Pri plánovaní konkrétnej plochy zvážte, že vykurovaciu rohož nie je možné strihať na menší rozmer!</t>
        </is>
      </c>
    </row>
    <row r="1882">
      <c r="A1882" s="3" t="inlineStr">
        <is>
          <t>FHC070</t>
        </is>
      </c>
      <c r="B1882" s="2" t="inlineStr">
        <is>
          <t>Vykurovacia rohož po studenú krytinu</t>
        </is>
      </c>
      <c r="C1882" s="1" t="n">
        <v>140.9</v>
      </c>
      <c r="D1882" s="7" t="n">
        <f>HYPERLINK("https://www.somogyi.sk/product/vykurovacia-rohoz-po-studenu-krytinu-fhc070-18879","https://www.somogyi.sk/product/vykurovacia-rohoz-po-studenu-krytinu-fhc070-18879")</f>
        <v>0.0</v>
      </c>
      <c r="E1882" s="7" t="n">
        <f>HYPERLINK("https://www.somogyi.sk/data/img/product_main_images/small/18879.jpg","https://www.somogyi.sk/data/img/product_main_images/small/18879.jpg")</f>
        <v>0.0</v>
      </c>
      <c r="F1882" s="2" t="inlineStr">
        <is>
          <t>5999084968748</t>
        </is>
      </c>
      <c r="G1882"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14 m 
 • N/A: 7 m² 
 • napájanie: 230 V~ / 50 Hz 
 • N/A: 1050 W 
 • odpor: 58,8 Ω 
 • N/A: Pri plánovaní konkrétnej plochy zvážte, že vykurovaciu rohož nie je možné strihať na menší rozmer!</t>
        </is>
      </c>
    </row>
    <row r="1883">
      <c r="A1883" s="3" t="inlineStr">
        <is>
          <t>FHW100</t>
        </is>
      </c>
      <c r="B1883" s="2" t="inlineStr">
        <is>
          <t>Vykurovacia rohož pod teplú krytinu</t>
        </is>
      </c>
      <c r="C1883" s="1" t="n">
        <v>351.9</v>
      </c>
      <c r="D1883" s="7" t="n">
        <f>HYPERLINK("https://www.somogyi.sk/product/vykurovacia-rohoz-pod-teplu-krytinu-fhw100-18897","https://www.somogyi.sk/product/vykurovacia-rohoz-pod-teplu-krytinu-fhw100-18897")</f>
        <v>0.0</v>
      </c>
      <c r="E1883" s="7" t="n">
        <f>HYPERLINK("https://www.somogyi.sk/data/img/product_main_images/small/18897.jpg","https://www.somogyi.sk/data/img/product_main_images/small/18897.jpg")</f>
        <v>0.0</v>
      </c>
      <c r="F1883" s="2" t="inlineStr">
        <is>
          <t>5999084968922</t>
        </is>
      </c>
      <c r="G1883"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20 m 
 • N/A: 10 m² 
 • napájanie: 230 V~ / 50 Hz 
 • N/A: 1500 W 
 • odpor: 35,3 Ω 
 • N/A: Pri plánovaní konkrétnej plochy zvážte, že vykurovaciu rohož nie je možné strihať na menší rozmer!</t>
        </is>
      </c>
    </row>
    <row r="1884">
      <c r="A1884" s="3" t="inlineStr">
        <is>
          <t>FHC010</t>
        </is>
      </c>
      <c r="B1884" s="2" t="inlineStr">
        <is>
          <t>Vykurovacia rohož pod studenú krytinu</t>
        </is>
      </c>
      <c r="C1884" s="1" t="n">
        <v>35.99</v>
      </c>
      <c r="D1884" s="7" t="n">
        <f>HYPERLINK("https://www.somogyi.sk/product/vykurovacia-rohoz-pod-studenu-krytinu-fhc010-18870","https://www.somogyi.sk/product/vykurovacia-rohoz-pod-studenu-krytinu-fhc010-18870")</f>
        <v>0.0</v>
      </c>
      <c r="E1884" s="7" t="n">
        <f>HYPERLINK("https://www.somogyi.sk/data/img/product_main_images/small/18870.jpg","https://www.somogyi.sk/data/img/product_main_images/small/18870.jpg")</f>
        <v>0.0</v>
      </c>
      <c r="F1884" s="2" t="inlineStr">
        <is>
          <t>5999084968656</t>
        </is>
      </c>
      <c r="G1884"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2 m 
 • N/A: 1 m² 
 • napájanie: 230 V~ / 50 Hz 
 • N/A: 150 W 
 • odpor: 352,7 Ω 
 • N/A: Pri plánovaní konkrétnej plochy zvážte, že vykurovaciu rohož nie je možné strihať na menší rozmer!</t>
        </is>
      </c>
    </row>
    <row r="1885">
      <c r="A1885" s="3" t="inlineStr">
        <is>
          <t>FHW120</t>
        </is>
      </c>
      <c r="B1885" s="2" t="inlineStr">
        <is>
          <t>Vykurovacia rohož pod teplú krytinu</t>
        </is>
      </c>
      <c r="C1885" s="1" t="n">
        <v>463.9</v>
      </c>
      <c r="D1885" s="7" t="n">
        <f>HYPERLINK("https://www.somogyi.sk/product/vykurovacia-rohoz-pod-teplu-krytinu-fhw120-18898","https://www.somogyi.sk/product/vykurovacia-rohoz-pod-teplu-krytinu-fhw120-18898")</f>
        <v>0.0</v>
      </c>
      <c r="E1885" s="7" t="n">
        <f>HYPERLINK("https://www.somogyi.sk/data/img/product_main_images/small/18898.jpg","https://www.somogyi.sk/data/img/product_main_images/small/18898.jpg")</f>
        <v>0.0</v>
      </c>
      <c r="F1885" s="2" t="inlineStr">
        <is>
          <t>5999084968939</t>
        </is>
      </c>
      <c r="G1885"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24 m 
 • N/A: 12 m² 
 • napájanie: 230 V~ / 50 Hz 
 • N/A: 1800 W 
 • odpor: 29,4 Ω 
 • N/A: Pri plánovaní konkrétnej plochy zvážte, že vykurovaciu rohož nie je možné strihať na menší rozmer!</t>
        </is>
      </c>
    </row>
    <row r="1886">
      <c r="A1886" s="3" t="inlineStr">
        <is>
          <t>FHW070</t>
        </is>
      </c>
      <c r="B1886" s="2" t="inlineStr">
        <is>
          <t>Vykurovacia rohož pod teplú krytinu</t>
        </is>
      </c>
      <c r="C1886" s="1" t="n">
        <v>245.9</v>
      </c>
      <c r="D1886" s="7" t="n">
        <f>HYPERLINK("https://www.somogyi.sk/product/vykurovacia-rohoz-pod-teplu-krytinu-fhw070-18894","https://www.somogyi.sk/product/vykurovacia-rohoz-pod-teplu-krytinu-fhw070-18894")</f>
        <v>0.0</v>
      </c>
      <c r="E1886" s="7" t="n">
        <f>HYPERLINK("https://www.somogyi.sk/data/img/product_main_images/small/18894.jpg","https://www.somogyi.sk/data/img/product_main_images/small/18894.jpg")</f>
        <v>0.0</v>
      </c>
      <c r="F1886" s="2" t="inlineStr">
        <is>
          <t>5999084968892</t>
        </is>
      </c>
      <c r="G1886"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14 m 
 • N/A: 7 m² 
 • napájanie: 230 V~ / 50 Hz 
 • N/A: 1050 W 
 • odpor: 50,4 Ω 
 • N/A: Pri plánovaní konkrétnej plochy zvážte, že vykurovaciu rohož nie je možné strihať na menší rozmer!</t>
        </is>
      </c>
    </row>
    <row r="1887">
      <c r="A1887" s="3" t="inlineStr">
        <is>
          <t>FHC015</t>
        </is>
      </c>
      <c r="B1887" s="2" t="inlineStr">
        <is>
          <t>Vykurovacia rohož pod studenú krytinu</t>
        </is>
      </c>
      <c r="C1887" s="1" t="n">
        <v>50.89</v>
      </c>
      <c r="D1887" s="7" t="n">
        <f>HYPERLINK("https://www.somogyi.sk/product/vykurovacia-rohoz-pod-studenu-krytinu-fhc015-18871","https://www.somogyi.sk/product/vykurovacia-rohoz-pod-studenu-krytinu-fhc015-18871")</f>
        <v>0.0</v>
      </c>
      <c r="E1887" s="7" t="n">
        <f>HYPERLINK("https://www.somogyi.sk/data/img/product_main_images/small/18871.jpg","https://www.somogyi.sk/data/img/product_main_images/small/18871.jpg")</f>
        <v>0.0</v>
      </c>
      <c r="F1887" s="2" t="inlineStr">
        <is>
          <t>5999084968663</t>
        </is>
      </c>
      <c r="G1887"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3 m 
 • N/A: 1,5 m² 
 • napájanie: 230 V~ / 50 Hz 
 • N/A: 225 W 
 • odpor: 235,1 Ω 
 • N/A: Pri plánovaní konkrétnej plochy zvážte, že vykurovaciu rohož nie je možné strihať na menší rozmer!</t>
        </is>
      </c>
    </row>
    <row r="1888">
      <c r="A1888" s="3" t="inlineStr">
        <is>
          <t>FHC110</t>
        </is>
      </c>
      <c r="B1888" s="2" t="inlineStr">
        <is>
          <t>Vykurovacia rohož pod studenú krytinu</t>
        </is>
      </c>
      <c r="C1888" s="1" t="n">
        <v>211.9</v>
      </c>
      <c r="D1888" s="7" t="n">
        <f>HYPERLINK("https://www.somogyi.sk/product/vykurovacia-rohoz-pod-studenu-krytinu-fhc110-18883","https://www.somogyi.sk/product/vykurovacia-rohoz-pod-studenu-krytinu-fhc110-18883")</f>
        <v>0.0</v>
      </c>
      <c r="E1888" s="7" t="n">
        <f>HYPERLINK("https://www.somogyi.sk/data/img/product_main_images/small/18883.jpg","https://www.somogyi.sk/data/img/product_main_images/small/18883.jpg")</f>
        <v>0.0</v>
      </c>
      <c r="F1888" s="2" t="inlineStr">
        <is>
          <t>5999084968786</t>
        </is>
      </c>
      <c r="G1888" s="4" t="inlineStr">
        <is>
          <t xml:space="preserve"> • charakteristiky: dvojžilový vykurovací kábel, jednostranné elektrické pripojenie 
 • N/A: 150 W/m² 
 • N/A: 4 mm 
 • N/A: cca. 8 cm 
 • N/A: 2,5 m (dvojžilový   uzemnenie) 
 • N/A: odporúčané ovládanie inteligentným termostatom Home FHT76WIFI 
 • šírka: 0,5 m 
 • dĺžka: 22 m 
 • N/A: 11 m² 
 • napájanie: 230 V~  / 50 Hz 
 • N/A: 1650 W 
 • odpor: 32,1 Ω 
 • N/A: Pri plánovaní konkrétnej plochy zvážte, že vykurovaciu rohož nie je možné strihať na menší rozmer!</t>
        </is>
      </c>
    </row>
    <row r="1889">
      <c r="A1889" s="3" t="inlineStr">
        <is>
          <t>FHW025</t>
        </is>
      </c>
      <c r="B1889" s="2" t="inlineStr">
        <is>
          <t>Vykurovacia rohož pod teplú krytinu</t>
        </is>
      </c>
      <c r="C1889" s="1" t="n">
        <v>91.49</v>
      </c>
      <c r="D1889" s="7" t="n">
        <f>HYPERLINK("https://www.somogyi.sk/product/vykurovacia-rohoz-pod-teplu-krytinu-fhw025-18889","https://www.somogyi.sk/product/vykurovacia-rohoz-pod-teplu-krytinu-fhw025-18889")</f>
        <v>0.0</v>
      </c>
      <c r="E1889" s="7" t="n">
        <f>HYPERLINK("https://www.somogyi.sk/data/img/product_main_images/small/18889.jpg","https://www.somogyi.sk/data/img/product_main_images/small/18889.jpg")</f>
        <v>0.0</v>
      </c>
      <c r="F1889" s="2" t="inlineStr">
        <is>
          <t>5999084968847</t>
        </is>
      </c>
      <c r="G1889"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5 m 
 • N/A: 2,5 m² 
 • napájanie: 230 V~ / 50 Hz 
 • N/A: 375 W 
 • odpor: 141,1 Ω 
 • N/A: Pri plánovaní konkrétnej plochy zvážte, že vykurovaciu rohož nie je možné strihať na menší rozmer!</t>
        </is>
      </c>
    </row>
    <row r="1890">
      <c r="A1890" s="3" t="inlineStr">
        <is>
          <t>FHW080</t>
        </is>
      </c>
      <c r="B1890" s="2" t="inlineStr">
        <is>
          <t>Vykurovacia rohož pod teplú krytinu</t>
        </is>
      </c>
      <c r="C1890" s="1" t="n">
        <v>257.9</v>
      </c>
      <c r="D1890" s="7" t="n">
        <f>HYPERLINK("https://www.somogyi.sk/product/vykurovacia-rohoz-pod-teplu-krytinu-fhw080-18895","https://www.somogyi.sk/product/vykurovacia-rohoz-pod-teplu-krytinu-fhw080-18895")</f>
        <v>0.0</v>
      </c>
      <c r="E1890" s="7" t="n">
        <f>HYPERLINK("https://www.somogyi.sk/data/img/product_main_images/small/18895.jpg","https://www.somogyi.sk/data/img/product_main_images/small/18895.jpg")</f>
        <v>0.0</v>
      </c>
      <c r="F1890" s="2" t="inlineStr">
        <is>
          <t>5999084968908</t>
        </is>
      </c>
      <c r="G1890"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16 m 
 • N/A: 8 m² 
 • napájanie: 230 V~ / 50 Hz 
 • N/A: 1200 W 
 • odpor: 44,1 Ω 
 • N/A: Pri plánovaní konkrétnej plochy zvážte, že vykurovaciu rohož nie je možné strihať na menší rozmer!</t>
        </is>
      </c>
    </row>
    <row r="1891">
      <c r="A1891" s="3" t="inlineStr">
        <is>
          <t>FHC090</t>
        </is>
      </c>
      <c r="B1891" s="2" t="inlineStr">
        <is>
          <t>Vykurovacia rohož pod studenú krytinu</t>
        </is>
      </c>
      <c r="C1891" s="1" t="n">
        <v>178.9</v>
      </c>
      <c r="D1891" s="7" t="n">
        <f>HYPERLINK("https://www.somogyi.sk/product/vykurovacia-rohoz-pod-studenu-krytinu-fhc090-18881","https://www.somogyi.sk/product/vykurovacia-rohoz-pod-studenu-krytinu-fhc090-18881")</f>
        <v>0.0</v>
      </c>
      <c r="E1891" s="7" t="n">
        <f>HYPERLINK("https://www.somogyi.sk/data/img/product_main_images/small/18881.jpg","https://www.somogyi.sk/data/img/product_main_images/small/18881.jpg")</f>
        <v>0.0</v>
      </c>
      <c r="F1891" s="2" t="inlineStr">
        <is>
          <t>5999084968762</t>
        </is>
      </c>
      <c r="G1891" s="4" t="inlineStr">
        <is>
          <t xml:space="preserve"> • charakteristiky: dvojžilový vykurovací kábel, jednostranné elektrické pripojenie 
 • N/A: 150 W/m² 
 • N/A: 4 mm 
 • N/A: cca. 8 cm 
 • N/A: 2,5 m (dvojžilový   uzemnenie) 
 • N/A: odporúčané ovládanie inteligentným termostatom Home FHT76WIFI 
 • šírka: 0,5 m 
 • dĺžka: 18 m 
 • N/A: 9 m² 
 • napájanie: 230 V~  / 50 Hz 
 • N/A: 1350 W 
 • odpor: 32,1 Ω 
 • N/A: Pri plánovaní konkrétnej plochy zvážte, že vykurovaciu rohož nie je možné strihať na menší rozmer!</t>
        </is>
      </c>
    </row>
    <row r="1892">
      <c r="A1892" s="3" t="inlineStr">
        <is>
          <t>FHW090</t>
        </is>
      </c>
      <c r="B1892" s="2" t="inlineStr">
        <is>
          <t>Vykurovacia rohož pod teplú krytinu</t>
        </is>
      </c>
      <c r="C1892" s="1" t="n">
        <v>301.9</v>
      </c>
      <c r="D1892" s="7" t="n">
        <f>HYPERLINK("https://www.somogyi.sk/product/vykurovacia-rohoz-pod-teplu-krytinu-fhw090-18896","https://www.somogyi.sk/product/vykurovacia-rohoz-pod-teplu-krytinu-fhw090-18896")</f>
        <v>0.0</v>
      </c>
      <c r="E1892" s="7" t="n">
        <f>HYPERLINK("https://www.somogyi.sk/data/img/product_main_images/small/18896.jpg","https://www.somogyi.sk/data/img/product_main_images/small/18896.jpg")</f>
        <v>0.0</v>
      </c>
      <c r="F1892" s="2" t="inlineStr">
        <is>
          <t>5999084968915</t>
        </is>
      </c>
      <c r="G1892"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18 m 
 • N/A: 9 m² 
 • napájanie: 230 V~ / 50 Hz 
 • N/A: 1350 W 
 • odpor: 39,2 Ω 
 • N/A: Pri plánovaní konkrétnej plochy zvážte, že vykurovaciu rohož nie je možné strihať na menší rozmer!</t>
        </is>
      </c>
    </row>
    <row r="1893">
      <c r="A1893" s="3" t="inlineStr">
        <is>
          <t>FHC120</t>
        </is>
      </c>
      <c r="B1893" s="2" t="inlineStr">
        <is>
          <t>Vykurovacia rohož pod studenú krytinu</t>
        </is>
      </c>
      <c r="C1893" s="1" t="n">
        <v>221.9</v>
      </c>
      <c r="D1893" s="7" t="n">
        <f>HYPERLINK("https://www.somogyi.sk/product/vykurovacia-rohoz-pod-studenu-krytinu-fhc120-18884","https://www.somogyi.sk/product/vykurovacia-rohoz-pod-studenu-krytinu-fhc120-18884")</f>
        <v>0.0</v>
      </c>
      <c r="E1893" s="7" t="n">
        <f>HYPERLINK("https://www.somogyi.sk/data/img/product_main_images/small/18884.jpg","https://www.somogyi.sk/data/img/product_main_images/small/18884.jpg")</f>
        <v>0.0</v>
      </c>
      <c r="F1893" s="2" t="inlineStr">
        <is>
          <t>5999084968793</t>
        </is>
      </c>
      <c r="G1893" s="4" t="inlineStr">
        <is>
          <t xml:space="preserve"> • charakteristiky: dvojžilový vykurovací kábel, jednostranné elektrické pripojenie 
 • N/A: 150 W/m² 
 • N/A: 4 mm 
 • N/A: cca. 8 cm 
 • N/A: 2,5 m (dvojžilový   uzemnenie) 
 • N/A: odporúčané ovládanie inteligentným termostatom Home FHT76WIFI 
 • šírka: 0,5 m 
 • dĺžka: 24 m 
 • N/A: 12 m² 
 • napájanie: 230 V~  / 50 Hz 
 • N/A: 1800 W 
 • odpor: 29,4 Ω 
 • N/A: Pri plánovaní konkrétnej plochy zvážte, že vykurovaciu rohož nie je možné strihať na menší rozmer!</t>
        </is>
      </c>
    </row>
    <row r="1894">
      <c r="A1894" s="3" t="inlineStr">
        <is>
          <t>FHW050</t>
        </is>
      </c>
      <c r="B1894" s="2" t="inlineStr">
        <is>
          <t>Vykurovacia rohož pod teplú krytinu</t>
        </is>
      </c>
      <c r="C1894" s="1" t="n">
        <v>172.9</v>
      </c>
      <c r="D1894" s="7" t="n">
        <f>HYPERLINK("https://www.somogyi.sk/product/vykurovacia-rohoz-pod-teplu-krytinu-fhw050-18892","https://www.somogyi.sk/product/vykurovacia-rohoz-pod-teplu-krytinu-fhw050-18892")</f>
        <v>0.0</v>
      </c>
      <c r="E1894" s="7" t="n">
        <f>HYPERLINK("https://www.somogyi.sk/data/img/product_main_images/small/18892.jpg","https://www.somogyi.sk/data/img/product_main_images/small/18892.jpg")</f>
        <v>0.0</v>
      </c>
      <c r="F1894" s="2" t="inlineStr">
        <is>
          <t>5999084968878</t>
        </is>
      </c>
      <c r="G1894"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10 m 
 • N/A: 5 m² 
 • napájanie: 230 V~ / 50 Hz 
 • N/A: 750 W 
 • odpor: 70,5 Ω 
 • N/A: Pri plánovaní konkrétnej plochy zvážte, že vykurovaciu rohož nie je možné strihať na menší rozmer!</t>
        </is>
      </c>
    </row>
    <row r="1895">
      <c r="A1895" s="3" t="inlineStr">
        <is>
          <t>FHW020</t>
        </is>
      </c>
      <c r="B1895" s="2" t="inlineStr">
        <is>
          <t>Vykurovacia rohož pod teplú krytinu</t>
        </is>
      </c>
      <c r="C1895" s="1" t="n">
        <v>75.59</v>
      </c>
      <c r="D1895" s="7" t="n">
        <f>HYPERLINK("https://www.somogyi.sk/product/vykurovacia-rohoz-pod-teplu-krytinu-fhw020-18888","https://www.somogyi.sk/product/vykurovacia-rohoz-pod-teplu-krytinu-fhw020-18888")</f>
        <v>0.0</v>
      </c>
      <c r="E1895" s="7" t="n">
        <f>HYPERLINK("https://www.somogyi.sk/data/img/product_main_images/small/18888.jpg","https://www.somogyi.sk/data/img/product_main_images/small/18888.jpg")</f>
        <v>0.0</v>
      </c>
      <c r="F1895" s="2" t="inlineStr">
        <is>
          <t>5999084968830</t>
        </is>
      </c>
      <c r="G1895"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4 m 
 • N/A: 2 m² 
 • napájanie: 230 V~ / 50 Hz 
 • N/A: 300 W 
 • odpor: 176,3 Ω 
 • N/A: Pri plánovaní konkrétnej plochy zvážte, že vykurovaciu rohož nie je možné strihať na menší rozmer!</t>
        </is>
      </c>
    </row>
    <row r="1896">
      <c r="A1896" s="3" t="inlineStr">
        <is>
          <t>FHC060</t>
        </is>
      </c>
      <c r="B1896" s="2" t="inlineStr">
        <is>
          <t>Vykurovacia rohož pod studenú krytinu</t>
        </is>
      </c>
      <c r="C1896" s="1" t="n">
        <v>123.9</v>
      </c>
      <c r="D1896" s="7" t="n">
        <f>HYPERLINK("https://www.somogyi.sk/product/vykurovacia-rohoz-pod-studenu-krytinu-fhc060-18878","https://www.somogyi.sk/product/vykurovacia-rohoz-pod-studenu-krytinu-fhc060-18878")</f>
        <v>0.0</v>
      </c>
      <c r="E1896" s="7" t="n">
        <f>HYPERLINK("https://www.somogyi.sk/data/img/product_main_images/small/18878.jpg","https://www.somogyi.sk/data/img/product_main_images/small/18878.jpg")</f>
        <v>0.0</v>
      </c>
      <c r="F1896" s="2" t="inlineStr">
        <is>
          <t>5999084968731</t>
        </is>
      </c>
      <c r="G1896" s="4" t="inlineStr">
        <is>
          <t xml:space="preserve"> • charakteristiky: dvojžilový vykurovací kábel, jednostranné elektrické pripojenie 
 • N/A: 150 W/m² 
 • N/A: sklolaminátová sieťovina so samolepiacimi páskami 
 • N/A: 4 mm 
 • N/A: cca. 8 cm 
 • N/A: 2,5 m (dvojžilový   uzemnenie) 
 • N/A: odporúčané ovládanie inteligentným termostatom Home FHT76WIFI 
 • šírka: 0,5 m 
 • dĺžka: 12 m 
 • N/A: 6 m² 
 • napájanie: 230 V~ / 50 Hz 
 • N/A: 900 W 
 • odpor: 58,8 Ω 
 • N/A: Pri plánovaní konkrétnej plochy zvážte, že vykurovaciu rohož nie je možné strihať na menší rozmer!</t>
        </is>
      </c>
    </row>
    <row r="1897">
      <c r="A1897" s="3" t="inlineStr">
        <is>
          <t>FHW040</t>
        </is>
      </c>
      <c r="B1897" s="2" t="inlineStr">
        <is>
          <t>Vykurovacia rohož pod teplú krytinu</t>
        </is>
      </c>
      <c r="C1897" s="1" t="n">
        <v>135.9</v>
      </c>
      <c r="D1897" s="7" t="n">
        <f>HYPERLINK("https://www.somogyi.sk/product/vykurovacia-rohoz-pod-teplu-krytinu-fhw040-18891","https://www.somogyi.sk/product/vykurovacia-rohoz-pod-teplu-krytinu-fhw040-18891")</f>
        <v>0.0</v>
      </c>
      <c r="E1897" s="7" t="n">
        <f>HYPERLINK("https://www.somogyi.sk/data/img/product_main_images/small/18891.jpg","https://www.somogyi.sk/data/img/product_main_images/small/18891.jpg")</f>
        <v>0.0</v>
      </c>
      <c r="F1897" s="2" t="inlineStr">
        <is>
          <t>5999084968861</t>
        </is>
      </c>
      <c r="G1897" s="4" t="inlineStr">
        <is>
          <t xml:space="preserve"> • charakteristiky: dvojžilový vykurovací kábel, jednostranné elektrické pripojenie 
 • N/A: 150 W/m² 
 • N/A: kryt z hliníkovej fólie na oboch stranách 
 • N/A: 1,4 mm 
 • N/A: cca. 5 cm 
 • N/A: 2,5 m (dvojžilový   uzemnenie) 
 • N/A: odporúčané ovládanie inteligentným termostatom Home FHT76WIFI 
 • šírka: 0,5 m 
 • dĺžka: 8 m 
 • N/A: 4 m² 
 • napájanie: 230 V~ / 50 Hz 
 • N/A: 600 W 
 • odpor: 88,2 Ω 
 • N/A: Pri plánovaní konkrétnej plochy zvážte, že vykurovaciu rohož nie je možné strihať na menší rozmer!</t>
        </is>
      </c>
    </row>
    <row r="1898">
      <c r="A1898" s="6" t="inlineStr">
        <is>
          <t xml:space="preserve">   Detektor dymu a požiaru / Detektor prítomnosti CO</t>
        </is>
      </c>
      <c r="B1898" s="6" t="inlineStr">
        <is>
          <t/>
        </is>
      </c>
      <c r="C1898" s="6" t="inlineStr">
        <is>
          <t/>
        </is>
      </c>
      <c r="D1898" s="6" t="inlineStr">
        <is>
          <t/>
        </is>
      </c>
      <c r="E1898" s="6" t="inlineStr">
        <is>
          <t/>
        </is>
      </c>
      <c r="F1898" s="6" t="inlineStr">
        <is>
          <t/>
        </is>
      </c>
      <c r="G1898" s="6" t="inlineStr">
        <is>
          <t/>
        </is>
      </c>
    </row>
    <row r="1899">
      <c r="A1899" s="3" t="inlineStr">
        <is>
          <t>CO10LCD</t>
        </is>
      </c>
      <c r="B1899" s="2" t="inlineStr">
        <is>
          <t>Detektor CO, LCD displej, batériový</t>
        </is>
      </c>
      <c r="C1899" s="1" t="n">
        <v>24.39</v>
      </c>
      <c r="D1899" s="7" t="n">
        <f>HYPERLINK("https://www.somogyi.sk/product/detektor-co-lcd-displej-bateriovy-co10lcd-18458","https://www.somogyi.sk/product/detektor-co-lcd-displej-bateriovy-co10lcd-18458")</f>
        <v>0.0</v>
      </c>
      <c r="E1899" s="7" t="n">
        <f>HYPERLINK("https://www.somogyi.sk/data/img/product_main_images/small/18458.jpg","https://www.somogyi.sk/data/img/product_main_images/small/18458.jpg")</f>
        <v>0.0</v>
      </c>
      <c r="F1899" s="2" t="inlineStr">
        <is>
          <t>5999084964764</t>
        </is>
      </c>
      <c r="G1899" s="4" t="inlineStr">
        <is>
          <t xml:space="preserve"> • informatívny LCD displej: áno 
 • zodpovedá norme EN 50291-1: podľa štandardu EN 50291-1 a EN 50291-2 
 • hlasitosť alarmu: ≥85 dB/3 m 
 • test CO-senzora: áno 
 • signalizácia konca životnosti: áno 
 • prevádzková teplota: medzi -10 ºC a 40 ºC 
 • prístupná vlhkosť vzduchu: ≤ 90% relatívna vlhkosť vzduchu 
 • životnosť a záruka: predpokladaná životnosť prístroja: 10 rokov • záruka: 2 roky 
 • napájanie: 2 x 1,5 V AA batéria, vymeniteľná, očakávaná životnosť batérie za bežných podmienok je cca. 2 roky 
 • rozmery: 14 x 7 x 2,8 cm</t>
        </is>
      </c>
    </row>
    <row r="1900">
      <c r="A1900" s="3" t="inlineStr">
        <is>
          <t>CO10SMART</t>
        </is>
      </c>
      <c r="B1900" s="2" t="inlineStr">
        <is>
          <t>Detektor CO, LCD displej, Tuya, WiFi, batériový</t>
        </is>
      </c>
      <c r="C1900" s="1" t="n">
        <v>32.49</v>
      </c>
      <c r="D1900" s="7" t="n">
        <f>HYPERLINK("https://www.somogyi.sk/product/detektor-co-lcd-displej-tuya-wifi-bateriovy-co10smart-18459","https://www.somogyi.sk/product/detektor-co-lcd-displej-tuya-wifi-bateriovy-co10smart-18459")</f>
        <v>0.0</v>
      </c>
      <c r="E1900" s="7" t="n">
        <f>HYPERLINK("https://www.somogyi.sk/data/img/product_main_images/small/18459.jpg","https://www.somogyi.sk/data/img/product_main_images/small/18459.jpg")</f>
        <v>0.0</v>
      </c>
      <c r="F1900" s="2" t="inlineStr">
        <is>
          <t>5999084964771</t>
        </is>
      </c>
      <c r="G1900" s="4" t="inlineStr">
        <is>
          <t xml:space="preserve"> • informatívny LCD displej: áno 
 • LED kontrolka: áno 
 • zodpovedá norme EN 50291-1: podľa štandardu EN 50291-1 a EN 50291-2 
 • hlasitosť alarmu: ≥85 dB/3 m 
 • test CO-senzora: áno 
 • signalizácia konca životnosti: áno 
 • prevádzková teplota: -10 °C -  40 °C 
 • prístupná vlhkosť vzduchu: ≤ 90% relatívna vlhkosť vzduchu 
 • životnosť a záruka: predpokladaná životnosť prístroja: 10 rokov • záruka: 2 roky 
 • napájanie: 1 x 3 V CR123A batéria, vymeniteľná, predpokladaná životnosť batérie pri bežných podmienkach cca. 5 rokov 
 • rozmery: 8,65 x 8,65 x 3,05 cm</t>
        </is>
      </c>
    </row>
    <row r="1901">
      <c r="A1901" s="3" t="inlineStr">
        <is>
          <t>FA6813-EU</t>
        </is>
      </c>
      <c r="B1901" s="2" t="inlineStr">
        <is>
          <t>FireAngel detektor CO, batériový</t>
        </is>
      </c>
      <c r="C1901" s="1" t="n">
        <v>27.89</v>
      </c>
      <c r="D1901" s="7" t="n">
        <f>HYPERLINK("https://www.somogyi.sk/product/fireangel-detektor-co-bateriovy-fa6813-eu-18457","https://www.somogyi.sk/product/fireangel-detektor-co-bateriovy-fa6813-eu-18457")</f>
        <v>0.0</v>
      </c>
      <c r="E1901" s="7" t="n">
        <f>HYPERLINK("https://www.somogyi.sk/data/img/product_main_images/small/18457.jpg","https://www.somogyi.sk/data/img/product_main_images/small/18457.jpg")</f>
        <v>0.0</v>
      </c>
      <c r="F1901" s="2" t="inlineStr">
        <is>
          <t>0816317006686</t>
        </is>
      </c>
      <c r="G1901" s="4" t="inlineStr">
        <is>
          <t xml:space="preserve"> • zodpovedá norme EN 50291-1: podľa štandardu EN 50291-1 a EN 50291-2 
 • test CO-senzora: áno 
 • signalizácia konca životnosti: áno 
 • prevádzková teplota: -10 °C -  40 °C 
 • prístupná vlhkosť vzduchu: 25 - 95 % 
 • životnosť a záruka: predpokladaná životnosť prístroja: 10 rokov • záruka: 3 roky 
 • napájanie: 2 x 1,5 V (AA) batéria, vymeniteľná (2 ks sú príslušenstvom) 
 • rozmery: 12 x 7,3 x 3,5 cm</t>
        </is>
      </c>
    </row>
    <row r="1902">
      <c r="A1902" s="3" t="inlineStr">
        <is>
          <t>FA3820-HUR</t>
        </is>
      </c>
      <c r="B1902" s="2" t="inlineStr">
        <is>
          <t>FireAngel detektor CO</t>
        </is>
      </c>
      <c r="C1902" s="1" t="n">
        <v>41.69</v>
      </c>
      <c r="D1902" s="7" t="n">
        <f>HYPERLINK("https://www.somogyi.sk/product/fireangel-detektor-co-fa3820-hur-17859","https://www.somogyi.sk/product/fireangel-detektor-co-fa3820-hur-17859")</f>
        <v>0.0</v>
      </c>
      <c r="E1902" s="7" t="n">
        <f>HYPERLINK("https://www.somogyi.sk/data/img/product_main_images/small/17859.jpg","https://www.somogyi.sk/data/img/product_main_images/small/17859.jpg")</f>
        <v>0.0</v>
      </c>
      <c r="F1902" s="2" t="inlineStr">
        <is>
          <t>0816317006525</t>
        </is>
      </c>
      <c r="G1902" s="4" t="inlineStr">
        <is>
          <t xml:space="preserve"> • test CO-senzora: áno 
 • signalizácia konca životnosti: áno 
 • prevádzková teplota: -10 °C -  40 °C 
 • prístupná vlhkosť vzduchu: 30 - 90 % 
 • životnosť a záruka: predpokladaná životnosť prístroja: 10 rokov • záruka: 5 rokov 
 • napájanie: zabudovaný, nevymeniteľný lítiový akumulátor, predpokladaná životnosť 10 rokov 
 • rozmery: 12,5 x 6,7 x 3,3 cm</t>
        </is>
      </c>
    </row>
    <row r="1903">
      <c r="A1903" s="3" t="inlineStr">
        <is>
          <t>FA SP 3</t>
        </is>
      </c>
      <c r="B1903" s="2" t="inlineStr">
        <is>
          <t>4 kusová sada FireAngel bez detektoru CO</t>
        </is>
      </c>
      <c r="C1903" s="1" t="n">
        <v>99.29</v>
      </c>
      <c r="D1903" s="7" t="n">
        <f>HYPERLINK("https://www.somogyi.sk/product/4-kusova-sada-fireangel-bez-detektoru-co-fa-sp-3-18249","https://www.somogyi.sk/product/4-kusova-sada-fireangel-bez-detektoru-co-fa-sp-3-18249")</f>
        <v>0.0</v>
      </c>
      <c r="E1903" s="7" t="n">
        <f>HYPERLINK("https://www.somogyi.sk/data/img/product_main_images/small/18249.jpg","https://www.somogyi.sk/data/img/product_main_images/small/18249.jpg")</f>
        <v>0.0</v>
      </c>
      <c r="F1903" s="2" t="inlineStr">
        <is>
          <t>5999084962715</t>
        </is>
      </c>
      <c r="G1903" s="4" t="inlineStr">
        <is>
          <t xml:space="preserve"> • N/A: K produktom v balení je k dispozícii aj návod na použitie a návod na inštaláciu v maďarskom jazyku.</t>
        </is>
      </c>
    </row>
    <row r="1904">
      <c r="A1904" s="3" t="inlineStr">
        <is>
          <t>FA3322-INT</t>
        </is>
      </c>
      <c r="B1904" s="2" t="inlineStr">
        <is>
          <t>FireAngel detektor CO - LCD</t>
        </is>
      </c>
      <c r="C1904" s="1" t="n">
        <v>46.29</v>
      </c>
      <c r="D1904" s="7" t="n">
        <f>HYPERLINK("https://www.somogyi.sk/product/fireangel-detektor-co-lcd-fa3322-int-17864","https://www.somogyi.sk/product/fireangel-detektor-co-lcd-fa3322-int-17864")</f>
        <v>0.0</v>
      </c>
      <c r="E1904" s="7" t="n">
        <f>HYPERLINK("https://www.somogyi.sk/data/img/product_main_images/small/17864.jpg","https://www.somogyi.sk/data/img/product_main_images/small/17864.jpg")</f>
        <v>0.0</v>
      </c>
      <c r="F1904" s="2" t="inlineStr">
        <is>
          <t>0816317005979</t>
        </is>
      </c>
      <c r="G1904" s="4" t="inlineStr">
        <is>
          <t xml:space="preserve"> • informatívny LCD displej: áno 
 • zodpovedá norme EN 50291-1: štandard EN 50291-1 a EN 50291-2 
 • test CO-senzora: áno 
 • signalizácia konca životnosti: áno 
 • prevádzková teplota: -10 °C -  40 °C 
 • prístupná vlhkosť vzduchu: 30 - 90 % 
 • životnosť a záruka: očakávaná životnosť prístroja: 10 rokov, záruka: 5 rokov 
 • napájanie: zabudovaný akumulátor: 3 V, lítiový, očakávaná životnosť: 10 rokov 
 • rozmery: 12,9 x 7,6 x 3,1 cm</t>
        </is>
      </c>
    </row>
    <row r="1905">
      <c r="A1905" s="6" t="inlineStr">
        <is>
          <t xml:space="preserve">   Detektor dymu a požiaru / Detektor dymu, požiaru</t>
        </is>
      </c>
      <c r="B1905" s="6" t="inlineStr">
        <is>
          <t/>
        </is>
      </c>
      <c r="C1905" s="6" t="inlineStr">
        <is>
          <t/>
        </is>
      </c>
      <c r="D1905" s="6" t="inlineStr">
        <is>
          <t/>
        </is>
      </c>
      <c r="E1905" s="6" t="inlineStr">
        <is>
          <t/>
        </is>
      </c>
      <c r="F1905" s="6" t="inlineStr">
        <is>
          <t/>
        </is>
      </c>
      <c r="G1905" s="6" t="inlineStr">
        <is>
          <t/>
        </is>
      </c>
    </row>
    <row r="1906">
      <c r="A1906" s="3" t="inlineStr">
        <is>
          <t>SMO10SMART</t>
        </is>
      </c>
      <c r="B1906" s="2" t="inlineStr">
        <is>
          <t>Optický detektor dymu, Tuya, WiFi</t>
        </is>
      </c>
      <c r="C1906" s="1" t="n">
        <v>37.39</v>
      </c>
      <c r="D1906" s="7" t="n">
        <f>HYPERLINK("https://www.somogyi.sk/product/opticky-detektor-dymu-tuya-wifi-smo10smart-18461","https://www.somogyi.sk/product/opticky-detektor-dymu-tuya-wifi-smo10smart-18461")</f>
        <v>0.0</v>
      </c>
      <c r="E1906" s="7" t="n">
        <f>HYPERLINK("https://www.somogyi.sk/data/img/product_main_images/small/18461.jpg","https://www.somogyi.sk/data/img/product_main_images/small/18461.jpg")</f>
        <v>0.0</v>
      </c>
      <c r="F1906" s="2" t="inlineStr">
        <is>
          <t>5999084964795</t>
        </is>
      </c>
      <c r="G1906" s="4" t="inlineStr">
        <is>
          <t xml:space="preserve"> • prevádzková teplota: medzi -10 ºC a 55 ºC 
 • N/A: 2 roky 
 • prevedenie: optický 
 • životnosť: 10 rokov 
 • hlasitosť alarmu: ≥85 dB/3 m 
 • samokontrola: testovacia funkcia 
 • napájanie: 1 x 2400 mAh zabudovaný, nevymeniteľný lítiový akumulátor 
 • rozmery: Ø10,5 x 3,6 cm 
 • N/A: zvuková a svetelná signalizácia</t>
        </is>
      </c>
    </row>
    <row r="1907">
      <c r="A1907" s="3" t="inlineStr">
        <is>
          <t>SMO 10</t>
        </is>
      </c>
      <c r="B1907" s="2" t="inlineStr">
        <is>
          <t>Optický detektor dymu s akumulátorom</t>
        </is>
      </c>
      <c r="C1907" s="1" t="n">
        <v>21.39</v>
      </c>
      <c r="D1907" s="7" t="n">
        <f>HYPERLINK("https://www.somogyi.sk/product/opticky-detektor-dymu-s-akumulatorom-smo-10-17785","https://www.somogyi.sk/product/opticky-detektor-dymu-s-akumulatorom-smo-10-17785")</f>
        <v>0.0</v>
      </c>
      <c r="E1907" s="7" t="n">
        <f>HYPERLINK("https://www.somogyi.sk/data/img/product_main_images/small/17785.jpg","https://www.somogyi.sk/data/img/product_main_images/small/17785.jpg")</f>
        <v>0.0</v>
      </c>
      <c r="F1907" s="2" t="inlineStr">
        <is>
          <t>5999084958077</t>
        </is>
      </c>
      <c r="G1907" s="4" t="inlineStr">
        <is>
          <t xml:space="preserve"> • prevádzková teplota: -10°C ... ~55°C 
 • prevedenie: otpický 
 • životnosť: 10 rokov 
 •  
 • samokontrola: testovacia funkcia 
 • napájanie: zabudovaný akumulátor 
 • rozmery: ∅52 x 52 mm 
 • N/A: zvukový a svetelný efekt</t>
        </is>
      </c>
    </row>
    <row r="1908">
      <c r="A1908" s="3" t="inlineStr">
        <is>
          <t>FA6120-INT</t>
        </is>
      </c>
      <c r="B1908" s="2" t="inlineStr">
        <is>
          <t>FireAngel detektor dymu</t>
        </is>
      </c>
      <c r="C1908" s="1" t="n">
        <v>27.49</v>
      </c>
      <c r="D1908" s="7" t="n">
        <f>HYPERLINK("https://www.somogyi.sk/product/fireangel-detektor-dymu-fa6120-int-17908","https://www.somogyi.sk/product/fireangel-detektor-dymu-fa6120-int-17908")</f>
        <v>0.0</v>
      </c>
      <c r="E1908" s="7" t="n">
        <f>HYPERLINK("https://www.somogyi.sk/data/img/product_main_images/small/17908.jpg","https://www.somogyi.sk/data/img/product_main_images/small/17908.jpg")</f>
        <v>0.0</v>
      </c>
      <c r="F1908" s="2" t="inlineStr">
        <is>
          <t>0816317006402</t>
        </is>
      </c>
      <c r="G1908" s="4" t="inlineStr">
        <is>
          <t xml:space="preserve"> • prevádzková teplota: 4 °C -  38 °C 
 • N/A: 5 rokov 
 • prevedenie: zabudovaný optický detektor dymu 
 • životnosť: očakávaná životnosť prístroja: 10 rokov 
 • napájanie: zabudovaný akumulátor: 3 V, lítiový, očakávaná životnosť: 10 rokov 
 • rozmery: ∅11,8 x 3,2 cm 
 • ďalšie informácie: štandard EN 14604</t>
        </is>
      </c>
    </row>
    <row r="1909">
      <c r="A1909" s="3" t="inlineStr">
        <is>
          <t>SCB10-INT</t>
        </is>
      </c>
      <c r="B1909" s="2" t="inlineStr">
        <is>
          <t>FireAngel detektor CO a dymu</t>
        </is>
      </c>
      <c r="C1909" s="1" t="n">
        <v>74.49</v>
      </c>
      <c r="D1909" s="7" t="n">
        <f>HYPERLINK("https://www.somogyi.sk/product/fireangel-detektor-co-a-dymu-scb10-int-17133","https://www.somogyi.sk/product/fireangel-detektor-co-a-dymu-scb10-int-17133")</f>
        <v>0.0</v>
      </c>
      <c r="E1909" s="7" t="n">
        <f>HYPERLINK("https://www.somogyi.sk/data/img/product_main_images/small/17133.jpg","https://www.somogyi.sk/data/img/product_main_images/small/17133.jpg")</f>
        <v>0.0</v>
      </c>
      <c r="F1909" s="2" t="inlineStr">
        <is>
          <t>0816317004972</t>
        </is>
      </c>
      <c r="G1909" s="4" t="inlineStr">
        <is>
          <t xml:space="preserve"> • prevádzková teplota: 0 °C -  40 °C 
 • hlasitosť alarmu: 85 dB (z vzdialenosti 3 m) 
 • napájanie: zabudovaný akumulátor: 3 V, lítiový, predpokladaný čas prevádzky: 10 rokov 
 • rozmery: ∅13,3 x 4,1 cm 
 • LED kontrolka: áno 
 • zodpovedá norme EN 50291-1: áno 
 • vhodný aj do kúpeľne: áno 
 • test CO-senzora: áno 
 • signalizácia konca životnosti: áno 
 • prístupná vlhkosť vzduchu: 30 - 93 % 
 • ďalšie informácie: štandard EN 50291-1, EN 50291-2 a EN 14604 
 • hmotnosť: 200 g</t>
        </is>
      </c>
    </row>
    <row r="1910">
      <c r="A1910" s="3" t="inlineStr">
        <is>
          <t>FA6215-INT</t>
        </is>
      </c>
      <c r="B1910" s="2" t="inlineStr">
        <is>
          <t>FireAngel detektor tepla, batériový</t>
        </is>
      </c>
      <c r="C1910" s="1" t="n">
        <v>34.89</v>
      </c>
      <c r="D1910" s="7" t="n">
        <f>HYPERLINK("https://www.somogyi.sk/product/fireangel-detektor-tepla-bateriovy-fa6215-int-17987","https://www.somogyi.sk/product/fireangel-detektor-tepla-bateriovy-fa6215-int-17987")</f>
        <v>0.0</v>
      </c>
      <c r="E1910" s="7" t="n">
        <f>HYPERLINK("https://www.somogyi.sk/data/img/product_main_images/small/17987.jpg","https://www.somogyi.sk/data/img/product_main_images/small/17987.jpg")</f>
        <v>0.0</v>
      </c>
      <c r="F1910" s="2" t="inlineStr">
        <is>
          <t>0816317006396</t>
        </is>
      </c>
      <c r="G1910" s="4" t="inlineStr">
        <is>
          <t xml:space="preserve"> • dosah: max. 5,3 m 
 • prevádzková teplota: 4 °C -  38 °C 
 • N/A: 5 rokov 
 • prevedenie: senzor tepla 
 •  
 • napájanie: 2 x 1,5 V (AA), vymeniteľný (2 ks sú príslušenstvom) 
 • rozmery: ∅11,8 x 4,1 cm</t>
        </is>
      </c>
    </row>
    <row r="1911">
      <c r="A1911" s="3" t="inlineStr">
        <is>
          <t>SMO 01</t>
        </is>
      </c>
      <c r="B1911" s="2" t="inlineStr">
        <is>
          <t>Optický detektor dymu</t>
        </is>
      </c>
      <c r="C1911" s="1" t="n">
        <v>10.39</v>
      </c>
      <c r="D1911" s="7" t="n">
        <f>HYPERLINK("https://www.somogyi.sk/product/opticky-detektor-dymu-smo-01-15740","https://www.somogyi.sk/product/opticky-detektor-dymu-smo-01-15740")</f>
        <v>0.0</v>
      </c>
      <c r="E1911" s="7" t="n">
        <f>HYPERLINK("https://www.somogyi.sk/data/img/product_main_images/small/15740.jpg","https://www.somogyi.sk/data/img/product_main_images/small/15740.jpg")</f>
        <v>0.0</v>
      </c>
      <c r="F1911" s="2" t="inlineStr">
        <is>
          <t>5999084937744</t>
        </is>
      </c>
      <c r="G1911" s="4" t="inlineStr">
        <is>
          <t xml:space="preserve"> • prevádzková teplota: 5°C - 55°C 
 • prevedenie: optický 
 • životnosť: 5 rokov 
 • hlasitosť alarmu: 85 dB 
 • charakteristiky: funkcia stíšenia 
 • samokontrola: testovacia funkcia 
 • napájanie: 9 V batéria 
 • rozmery: Ø101 x 34 mm</t>
        </is>
      </c>
    </row>
    <row r="1912">
      <c r="A1912" s="3" t="inlineStr">
        <is>
          <t>ST-622-INT</t>
        </is>
      </c>
      <c r="B1912" s="2" t="inlineStr">
        <is>
          <t>FireAngel Kombinovaný detektor tepla dymu</t>
        </is>
      </c>
      <c r="C1912" s="1" t="n">
        <v>33.49</v>
      </c>
      <c r="D1912" s="7" t="n">
        <f>HYPERLINK("https://www.somogyi.sk/product/fireangel-kombinovany-detektor-tepla-dymu-st-622-int-17132","https://www.somogyi.sk/product/fireangel-kombinovany-detektor-tepla-dymu-st-622-int-17132")</f>
        <v>0.0</v>
      </c>
      <c r="E1912" s="7" t="n">
        <f>HYPERLINK("https://www.somogyi.sk/data/img/product_main_images/small/17132.jpg","https://www.somogyi.sk/data/img/product_main_images/small/17132.jpg")</f>
        <v>0.0</v>
      </c>
      <c r="F1912" s="2" t="inlineStr">
        <is>
          <t>0816317003760</t>
        </is>
      </c>
      <c r="G1912" s="4" t="inlineStr">
        <is>
          <t xml:space="preserve"> • prevedenie: optický senzor a senzor tepla 
 • napájanie: zabudovaný akumulátor: 3 V, lítiový 
 • rozmery: ∅13 x 3,3 cm</t>
        </is>
      </c>
    </row>
    <row r="1913">
      <c r="A1913" s="3" t="inlineStr">
        <is>
          <t>SMO11</t>
        </is>
      </c>
      <c r="B1913" s="2" t="inlineStr">
        <is>
          <t>Optický detektor dymu</t>
        </is>
      </c>
      <c r="C1913" s="1" t="n">
        <v>22.09</v>
      </c>
      <c r="D1913" s="7" t="n">
        <f>HYPERLINK("https://www.somogyi.sk/product/opticky-detektor-dymu-smo11-18460","https://www.somogyi.sk/product/opticky-detektor-dymu-smo11-18460")</f>
        <v>0.0</v>
      </c>
      <c r="E1913" s="7" t="n">
        <f>HYPERLINK("https://www.somogyi.sk/data/img/product_main_images/small/18460.jpg","https://www.somogyi.sk/data/img/product_main_images/small/18460.jpg")</f>
        <v>0.0</v>
      </c>
      <c r="F1913" s="2" t="inlineStr">
        <is>
          <t>5999084964788</t>
        </is>
      </c>
      <c r="G1913" s="4" t="inlineStr">
        <is>
          <t xml:space="preserve"> • prevádzková teplota: medzi 0 ºC a 55 ºC 
 • prevedenie: optický 
 • životnosť: 10 rokov 
 • hlasitosť alarmu: ≥85 dB/3 m 
 • samokontrola: testovacia funkcia 
 • napájanie: 1 x 1600 mAh zabudovaný, nevymeniteľný lítiový akumulátor, predpokladaná životnosť batérie: 10 rokov 
 • rozmery: Ø10,5 x 3,6 cm 
 • N/A: zvuková a svetelná signalizácia</t>
        </is>
      </c>
    </row>
    <row r="1914">
      <c r="A1914" s="3" t="inlineStr">
        <is>
          <t>ST-630-INT</t>
        </is>
      </c>
      <c r="B1914" s="2" t="inlineStr">
        <is>
          <t>FireAngel Kombinovaný detektor tepla dymu</t>
        </is>
      </c>
      <c r="C1914" s="1" t="n">
        <v>51.29</v>
      </c>
      <c r="D1914" s="7" t="n">
        <f>HYPERLINK("https://www.somogyi.sk/product/fireangel-kombinovany-detektor-tepla-dymu-st-630-int-17553","https://www.somogyi.sk/product/fireangel-kombinovany-detektor-tepla-dymu-st-630-int-17553")</f>
        <v>0.0</v>
      </c>
      <c r="E1914" s="7" t="n">
        <f>HYPERLINK("https://www.somogyi.sk/data/img/product_main_images/small/17553.jpg","https://www.somogyi.sk/data/img/product_main_images/small/17553.jpg")</f>
        <v>0.0</v>
      </c>
      <c r="F1914" s="2" t="inlineStr">
        <is>
          <t>0816317004491</t>
        </is>
      </c>
      <c r="G1914" s="4" t="inlineStr">
        <is>
          <t xml:space="preserve"> • prevedenie: zabudovaný optický senzor 
 • napájanie: zabudovaný akumulátor: 3 V, lítiový (prevádzková doba: 10 rokov)</t>
        </is>
      </c>
    </row>
    <row r="1915">
      <c r="A1915" s="3" t="inlineStr">
        <is>
          <t>FA6115-INT</t>
        </is>
      </c>
      <c r="B1915" s="2" t="inlineStr">
        <is>
          <t>FireAngel detektor dymu</t>
        </is>
      </c>
      <c r="C1915" s="1" t="n">
        <v>23.99</v>
      </c>
      <c r="D1915" s="7" t="n">
        <f>HYPERLINK("https://www.somogyi.sk/product/fireangel-detektor-dymu-fa6115-int-17909","https://www.somogyi.sk/product/fireangel-detektor-dymu-fa6115-int-17909")</f>
        <v>0.0</v>
      </c>
      <c r="E1915" s="7" t="n">
        <f>HYPERLINK("https://www.somogyi.sk/data/img/product_main_images/small/17909.jpg","https://www.somogyi.sk/data/img/product_main_images/small/17909.jpg")</f>
        <v>0.0</v>
      </c>
      <c r="F1915" s="2" t="inlineStr">
        <is>
          <t>0816317006419</t>
        </is>
      </c>
      <c r="G1915" s="4" t="inlineStr">
        <is>
          <t xml:space="preserve"> • prevádzková teplota: 4 °C -  38 °C 
 • N/A: 5 rokov 
 • prevedenie: zabudovaný optický detektor dymu 
 • životnosť: očakávaná životnosť prístroja: 10 rokov 
 • napájanie: 2 x 1,5 V (AA), vymeniteľné (2 sú príslušenstvom) ; očakávaná životnosť batérie: 3 roky 
 • rozmery: ∅11,8 x 3,2 cm 
 • ďalšie informácie: štandard EN 14604</t>
        </is>
      </c>
    </row>
    <row r="1916">
      <c r="A1916" s="3" t="inlineStr">
        <is>
          <t>W2-MODULE</t>
        </is>
      </c>
      <c r="B1916" s="2" t="inlineStr">
        <is>
          <t>FireAngel W2 modul</t>
        </is>
      </c>
      <c r="C1916" s="1" t="n">
        <v>48.99</v>
      </c>
      <c r="D1916" s="7" t="n">
        <f>HYPERLINK("https://www.somogyi.sk/product/fireangel-w2-modul-w2-module-17555","https://www.somogyi.sk/product/fireangel-w2-modul-w2-module-17555")</f>
        <v>0.0</v>
      </c>
      <c r="E1916" s="7" t="n">
        <f>HYPERLINK("https://www.somogyi.sk/data/img/product_main_images/small/17555.jpg","https://www.somogyi.sk/data/img/product_main_images/small/17555.jpg")</f>
        <v>0.0</v>
      </c>
      <c r="F1916" s="2" t="inlineStr">
        <is>
          <t>0816317002169</t>
        </is>
      </c>
      <c r="G1916" s="4" t="inlineStr">
        <is>
          <t xml:space="preserve"> • dosah: 200 m 
 • prevádzková frekvencia: 868 MHz 
 • charakteristiky: snímače vybavené takýmto modulom môžu byť vzájomne prepojené. Ak jeden z produktov pripojených k sieti vydá alarm, všetky ostatné tiež dávajú alarm / vďaka vlastnému zdroju napájania nemá prevádzka modulu žiadny vplyv na prevádzkovú dobu pripojeného zariadenia 
 • napájanie: zabudovaný akumulátor: 3 V, lítiový (prevádzková doba: 10 rokov)</t>
        </is>
      </c>
    </row>
    <row r="1917">
      <c r="A1917" s="3" t="inlineStr">
        <is>
          <t>FA6111-INT</t>
        </is>
      </c>
      <c r="B1917" s="2" t="inlineStr">
        <is>
          <t>FireAngel detektor dymu</t>
        </is>
      </c>
      <c r="C1917" s="1" t="n">
        <v>30.69</v>
      </c>
      <c r="D1917" s="7" t="n">
        <f>HYPERLINK("https://www.somogyi.sk/product/fireangel-detektor-dymu-fa6111-int-17910","https://www.somogyi.sk/product/fireangel-detektor-dymu-fa6111-int-17910")</f>
        <v>0.0</v>
      </c>
      <c r="E1917" s="7" t="n">
        <f>HYPERLINK("https://www.somogyi.sk/data/img/product_main_images/small/17910.jpg","https://www.somogyi.sk/data/img/product_main_images/small/17910.jpg")</f>
        <v>0.0</v>
      </c>
      <c r="F1917" s="2" t="inlineStr">
        <is>
          <t>0816317006426</t>
        </is>
      </c>
      <c r="G1917" s="4" t="inlineStr">
        <is>
          <t xml:space="preserve"> • prevádzková teplota: 4 °C -  38 °C 
 • N/A: 5 rokov 
 • prevedenie: zabudovaný optický detektor dymu 
 • životnosť: očakávaná životnosť prístroja: 10 rokov 
 • charakteristiky: vstavané svetlo únikovej cesty • testovací režim • signalizácia konca životnosti batérie 
 • napájanie: 2 x 1,5 V (AA), vymeniteľné (2 sú príslušenstvom) ; očakávaná životnosť batérie: 3 roky 
 • rozmery: ∅11,8 x 3,2 cm 
 • ďalšie informácie: štandard EN 14604</t>
        </is>
      </c>
    </row>
    <row r="1918">
      <c r="A1918" s="6" t="inlineStr">
        <is>
          <t xml:space="preserve">   Vianočné dekoračné osvetlenie / Spojovateľná adaptérová séria</t>
        </is>
      </c>
      <c r="B1918" s="6" t="inlineStr">
        <is>
          <t/>
        </is>
      </c>
      <c r="C1918" s="6" t="inlineStr">
        <is>
          <t/>
        </is>
      </c>
      <c r="D1918" s="6" t="inlineStr">
        <is>
          <t/>
        </is>
      </c>
      <c r="E1918" s="6" t="inlineStr">
        <is>
          <t/>
        </is>
      </c>
      <c r="F1918" s="6" t="inlineStr">
        <is>
          <t/>
        </is>
      </c>
      <c r="G1918" s="6" t="inlineStr">
        <is>
          <t/>
        </is>
      </c>
    </row>
    <row r="1919">
      <c r="A1919" s="3" t="inlineStr">
        <is>
          <t>DLFJ 400/WW</t>
        </is>
      </c>
      <c r="B1919" s="2" t="inlineStr">
        <is>
          <t>Spojovateľný LED svetelný záves, cencúľ</t>
        </is>
      </c>
      <c r="C1919" s="1" t="n">
        <v>57.59</v>
      </c>
      <c r="D1919" s="7" t="n">
        <f>HYPERLINK("https://www.somogyi.sk/product/spojovatelny-led-svetelny-zaves-cencul-dlfj-400-ww-15623","https://www.somogyi.sk/product/spojovatelny-led-svetelny-zaves-cencul-dlfj-400-ww-15623")</f>
        <v>0.0</v>
      </c>
      <c r="E1919" s="7" t="n">
        <f>HYPERLINK("https://www.somogyi.sk/data/img/product_main_images/small/15623.jpg","https://www.somogyi.sk/data/img/product_main_images/small/15623.jpg")</f>
        <v>0.0</v>
      </c>
      <c r="F1919" s="2" t="inlineStr">
        <is>
          <t>5999084936570</t>
        </is>
      </c>
      <c r="G1919" s="4" t="inlineStr">
        <is>
          <t xml:space="preserve"> • umiestnenie: na vonkajšie / vnútorné použitie 
 • zdroj svetla: LED 
 • počet zdrojov svetla: 400 ks 
 • farba zdrojov svetla: teplá biela 
 • farba kábla: biela 
 • charakteristiky: stále svetlo 
 • dĺžka: 10 m 
 • kompatibilita: s reťazcami DLI / DLF / DLFJ 
 • napájanie: 230 V~ / 50 Hz (31 V DC adaptér)</t>
        </is>
      </c>
    </row>
    <row r="1920">
      <c r="A1920" s="3" t="inlineStr">
        <is>
          <t>DLFC 600/WW</t>
        </is>
      </c>
      <c r="B1920" s="2" t="inlineStr">
        <is>
          <t>LED spojovateľný cluster svetelný záves</t>
        </is>
      </c>
      <c r="C1920" s="1" t="n">
        <v>47.39</v>
      </c>
      <c r="D1920" s="7" t="n">
        <f>HYPERLINK("https://www.somogyi.sk/product/led-spojovatelny-cluster-svetelny-zaves-dlfc-600-ww-18133","https://www.somogyi.sk/product/led-spojovatelny-cluster-svetelny-zaves-dlfc-600-ww-18133")</f>
        <v>0.0</v>
      </c>
      <c r="E1920" s="7" t="n">
        <f>HYPERLINK("https://www.somogyi.sk/data/img/product_main_images/small/18133.jpg","https://www.somogyi.sk/data/img/product_main_images/small/18133.jpg")</f>
        <v>0.0</v>
      </c>
      <c r="F1920" s="2" t="inlineStr">
        <is>
          <t>5999084961558</t>
        </is>
      </c>
      <c r="G1920" s="4" t="inlineStr">
        <is>
          <t xml:space="preserve"> • umiestnenie: na vonkajšie / vnútorné použitie 
 • zdroj svetla: LED (stále svetlo) 
 • počet zdrojov svetla: 600 ks 
 • farba zdrojov svetla: teplá biela 
 • farba kábla: biela 
 • charakteristiky: 10 reťazcov, 60 LED na jednom reťazci 
 • rozmery: 2,7 m šírka x 0,6 m výška • dĺžka cluster reťazcí: 60 cm, vzdialenosť medzi reťazcami 30 cm 
 •  
 • ďalšie informácie: s jedným sieťovým pripojením je možné prevádzkovať maximálne 1200 LED</t>
        </is>
      </c>
    </row>
    <row r="1921">
      <c r="A1921" s="3" t="inlineStr">
        <is>
          <t>DLF 400/WW</t>
        </is>
      </c>
      <c r="B1921" s="2" t="inlineStr">
        <is>
          <t>LED spojovateľný svetelný záves, 2 x 2 m, IP44</t>
        </is>
      </c>
      <c r="C1921" s="1" t="n">
        <v>41.19</v>
      </c>
      <c r="D1921" s="7" t="n">
        <f>HYPERLINK("https://www.somogyi.sk/product/led-spojovatelny-svetelny-zaves-2-x-2-m-ip44-dlf-400-ww-14638","https://www.somogyi.sk/product/led-spojovatelny-svetelny-zaves-2-x-2-m-ip44-dlf-400-ww-14638")</f>
        <v>0.0</v>
      </c>
      <c r="E1921" s="7" t="n">
        <f>HYPERLINK("https://www.somogyi.sk/data/img/product_main_images/small/14638.jpg","https://www.somogyi.sk/data/img/product_main_images/small/14638.jpg")</f>
        <v>0.0</v>
      </c>
      <c r="F1921" s="2" t="inlineStr">
        <is>
          <t>5999084926809</t>
        </is>
      </c>
      <c r="G1921" s="4" t="inlineStr">
        <is>
          <t xml:space="preserve"> • umiestnenie: na vonkajšie / vnútorné použitie 
 • zdroj svetla: LED (stále svetlo) 
 • počet zdrojov svetla: 400 ks 
 • farba zdrojov svetla: teplá biela 
 • farba kábla: biela 
 • charakteristiky: 20 reťazcov, 20 LED na jednom reťazci 
 • rozmery: 2 x 2 m 
 • napájanie: Bez napájacieho kábla a adaptéra! 
 • ďalšie informácie: s jedným sieťovým pripojením je možné prevádzkovať maximálne 1200 LED</t>
        </is>
      </c>
    </row>
    <row r="1922">
      <c r="A1922" s="3" t="inlineStr">
        <is>
          <t>DLFJ 400/WH</t>
        </is>
      </c>
      <c r="B1922" s="2" t="inlineStr">
        <is>
          <t>Spojovateľný LED svetelný záves, cencúľ</t>
        </is>
      </c>
      <c r="C1922" s="1" t="n">
        <v>57.59</v>
      </c>
      <c r="D1922" s="7" t="n">
        <f>HYPERLINK("https://www.somogyi.sk/product/spojovatelny-led-svetelny-zaves-cencul-dlfj-400-wh-15622","https://www.somogyi.sk/product/spojovatelny-led-svetelny-zaves-cencul-dlfj-400-wh-15622")</f>
        <v>0.0</v>
      </c>
      <c r="E1922" s="7" t="n">
        <f>HYPERLINK("https://www.somogyi.sk/data/img/product_main_images/small/15622.jpg","https://www.somogyi.sk/data/img/product_main_images/small/15622.jpg")</f>
        <v>0.0</v>
      </c>
      <c r="F1922" s="2" t="inlineStr">
        <is>
          <t>5999084936563</t>
        </is>
      </c>
      <c r="G1922" s="4" t="inlineStr">
        <is>
          <t xml:space="preserve"> • umiestnenie: na vonkajšie / vnútorné použitie 
 • zdroj svetla: LED 
 • počet zdrojov svetla: 400 ks 
 • farba zdrojov svetla: studená biela 
 • farba kábla: biela 
 • charakteristiky: stále svetlo 
 • dĺžka: 10 m 
 • kompatibilita: s reťazcami DLI / DLF / DLFJ 
 • napájanie: 230 V~ / 50 Hz (31 V DC adaptér)</t>
        </is>
      </c>
    </row>
    <row r="1923">
      <c r="A1923" s="3" t="inlineStr">
        <is>
          <t>DLI 200/WW</t>
        </is>
      </c>
      <c r="B1923" s="2" t="inlineStr">
        <is>
          <t>LED spojovateľný svietiaci reťazec, 10 m, IP44</t>
        </is>
      </c>
      <c r="C1923" s="1" t="n">
        <v>16.59</v>
      </c>
      <c r="D1923" s="7" t="n">
        <f>HYPERLINK("https://www.somogyi.sk/product/led-spojovatelny-svietiaci-retazec-10-m-ip44-dli-200-ww-14633","https://www.somogyi.sk/product/led-spojovatelny-svietiaci-retazec-10-m-ip44-dli-200-ww-14633")</f>
        <v>0.0</v>
      </c>
      <c r="E1923" s="7" t="n">
        <f>HYPERLINK("https://www.somogyi.sk/data/img/product_main_images/small/14633.jpg","https://www.somogyi.sk/data/img/product_main_images/small/14633.jpg")</f>
        <v>0.0</v>
      </c>
      <c r="F1923" s="2" t="inlineStr">
        <is>
          <t>5999084926755</t>
        </is>
      </c>
      <c r="G1923" s="4" t="inlineStr">
        <is>
          <t xml:space="preserve"> • umiestnenie: vonkajšie / vnútorné použitie 
 • zdroj svetla: LED 
 • počet zdrojov svetla: 200 ks 
 • farba zdrojov svetla: teplá biela 
 • farba kábla: biela 
 • dĺžka: 10 m 
 • kompatibilita: so sériou DLI / DLF / DLFJ 
 • napájanie: 31 V DC 
 • ďalšie informácie: Dodávame bez sieťového adaptéra (DLA 12W) a napájacieho kábla (DLC 5M)! Jedným sieťovým pripojením sa smie použiť len 1200 ks LED! Pre sieťové pripojenie použite adaptér a napájací prívod len od firmy Somogyi Elektronic!</t>
        </is>
      </c>
    </row>
    <row r="1924">
      <c r="A1924" s="3" t="inlineStr">
        <is>
          <t>DLF 210/WW</t>
        </is>
      </c>
      <c r="B1924" s="2" t="inlineStr">
        <is>
          <t>LED svetelný záves, 2x1 m / 210 LED</t>
        </is>
      </c>
      <c r="C1924" s="1" t="n">
        <v>26.19</v>
      </c>
      <c r="D1924" s="7" t="n">
        <f>HYPERLINK("https://www.somogyi.sk/product/led-svetelny-zaves-2x1-m-210-led-dlf-210-ww-17815","https://www.somogyi.sk/product/led-svetelny-zaves-2x1-m-210-led-dlf-210-ww-17815")</f>
        <v>0.0</v>
      </c>
      <c r="E1924" s="7" t="n">
        <f>HYPERLINK("https://www.somogyi.sk/data/img/product_main_images/small/17815.jpg","https://www.somogyi.sk/data/img/product_main_images/small/17815.jpg")</f>
        <v>0.0</v>
      </c>
      <c r="F1924" s="2" t="inlineStr">
        <is>
          <t>5999084958374</t>
        </is>
      </c>
      <c r="G1924" s="4" t="inlineStr">
        <is>
          <t xml:space="preserve"> • umiestnenie: na vonkajšie / vnútorné použitie 
 • zdroj svetla: LED 
 • počet zdrojov svetla: 210 ks 
 • farba zdrojov svetla: teplá biela 
 • farba kábla: biela 
 • dĺžka: 1 m x 2 m 
 • kompatibilita: s DLI / DLF / DLFJ 
 • napájanie: 31 V DC</t>
        </is>
      </c>
    </row>
    <row r="1925">
      <c r="A1925" s="3" t="inlineStr">
        <is>
          <t>DLFJ 200/WW</t>
        </is>
      </c>
      <c r="B1925" s="2" t="inlineStr">
        <is>
          <t>LED svetelný záves spojovateľný s cencúľmi, 5 m, IP44</t>
        </is>
      </c>
      <c r="C1925" s="1" t="n">
        <v>32.19</v>
      </c>
      <c r="D1925" s="7" t="n">
        <f>HYPERLINK("https://www.somogyi.sk/product/led-svetelny-zaves-spojovatelny-s-cenculmi-5-m-ip44-dlfj-200-ww-14710","https://www.somogyi.sk/product/led-svetelny-zaves-spojovatelny-s-cenculmi-5-m-ip44-dlfj-200-ww-14710")</f>
        <v>0.0</v>
      </c>
      <c r="E1925" s="7" t="n">
        <f>HYPERLINK("https://www.somogyi.sk/data/img/product_main_images/small/14710.jpg","https://www.somogyi.sk/data/img/product_main_images/small/14710.jpg")</f>
        <v>0.0</v>
      </c>
      <c r="F1925" s="2" t="inlineStr">
        <is>
          <t>5999084927523</t>
        </is>
      </c>
      <c r="G1925" s="4" t="inlineStr">
        <is>
          <t xml:space="preserve"> • umiestnenie: vonkajšie / vnútorné použitie 
 • zdroj svetla: LED 
 • počet zdrojov svetla: 200 ks 
 • farba zdrojov svetla: teplá biela 
 • farba kábla: biela 
 • charakteristiky: stále svetlo 
 • dĺžka: 5 m 
 • kompatibilita: so sériou DLI / DLF / DLFJ 
 • napájanie: 31 V DC 
 • ďalšie informácie: Dodávame bez sieťového adaptéra (DLA 12W) a napájacieho kábla (DLC 5M)! Jedným sieťovým pripojením sa smie použiť len 1200 ks LED! Pre sieťové pripojenie použite adaptér a napájací prívod len od firmy Somogyi Elektronic!</t>
        </is>
      </c>
    </row>
    <row r="1926">
      <c r="A1926" s="3" t="inlineStr">
        <is>
          <t>DLFJ 400F/WW</t>
        </is>
      </c>
      <c r="B1926" s="2" t="inlineStr">
        <is>
          <t>Spojovateľný LED svetelný záves cencúle</t>
        </is>
      </c>
      <c r="C1926" s="1" t="n">
        <v>60.49</v>
      </c>
      <c r="D1926" s="7" t="n">
        <f>HYPERLINK("https://www.somogyi.sk/product/spojovatelny-led-svetelny-zaves-cencule-dlfj-400f-ww-17325","https://www.somogyi.sk/product/spojovatelny-led-svetelny-zaves-cencule-dlfj-400f-ww-17325")</f>
        <v>0.0</v>
      </c>
      <c r="E1926" s="7" t="n">
        <f>HYPERLINK("https://www.somogyi.sk/data/img/product_main_images/small/17325.jpg","https://www.somogyi.sk/data/img/product_main_images/small/17325.jpg")</f>
        <v>0.0</v>
      </c>
      <c r="F1926" s="2" t="inlineStr">
        <is>
          <t>5999084953478</t>
        </is>
      </c>
      <c r="G1926" s="4" t="inlineStr">
        <is>
          <t xml:space="preserve"> • umiestnenie: na vonkajšie / vnútorné použitie 
 • zdroj svetla: LED 
 • počet zdrojov svetla: 400 ks 
 • farba zdrojov svetla: teplá biela 
 • farba kábla: biela farba 
 • dĺžka: 10 m 
 • kompatibilita: s DLI / DLF / DLF 
 • napájanie: 31 V DC</t>
        </is>
      </c>
    </row>
    <row r="1927">
      <c r="A1927" s="3" t="inlineStr">
        <is>
          <t>DLA 12W</t>
        </is>
      </c>
      <c r="B1927" s="2" t="inlineStr">
        <is>
          <t>Sieťový adaptér k výrobkom  DLI/DLF/DLFJ, IP44</t>
        </is>
      </c>
      <c r="C1927" s="1" t="n">
        <v>11.49</v>
      </c>
      <c r="D1927" s="7" t="n">
        <f>HYPERLINK("https://www.somogyi.sk/product/sietovy-adapter-k-vyrobkom-dli-dlf-dlfj-ip44-dla-12w-14640","https://www.somogyi.sk/product/sietovy-adapter-k-vyrobkom-dli-dlf-dlfj-ip44-dla-12w-14640")</f>
        <v>0.0</v>
      </c>
      <c r="E1927" s="7" t="n">
        <f>HYPERLINK("https://www.somogyi.sk/data/img/product_main_images/small/14640.jpg","https://www.somogyi.sk/data/img/product_main_images/small/14640.jpg")</f>
        <v>0.0</v>
      </c>
      <c r="F1927" s="2" t="inlineStr">
        <is>
          <t>5999084926823</t>
        </is>
      </c>
      <c r="G1927" s="4" t="inlineStr">
        <is>
          <t xml:space="preserve"> • umiestnenie: vonkajšie / vnútorné použitie 
 • zdroj svetla: - 
 • počet zdrojov svetla: - 
 • farba zdrojov svetla: - 
 • farba kábla: biela 
 • dĺžka: - 
 • kompatibilita: so sériou DLI / DLF / DLFJ 
 • napájanie: 230 V~/ 31 V DC / 12 W 
 • ďalšie informácie: Jedným sieťovým pripojením sa smie použiť len 1200 ks LED! Pre sieťové pripojenie sa smie použiť výhradne sieťový kábel (DLC 5M)  výhradne od firmy Somogyi Elektronic!</t>
        </is>
      </c>
    </row>
    <row r="1928">
      <c r="A1928" s="3" t="inlineStr">
        <is>
          <t>DLF 210/WH</t>
        </is>
      </c>
      <c r="B1928" s="2" t="inlineStr">
        <is>
          <t>LED svetelný záves, 2x1 m / 210 LED</t>
        </is>
      </c>
      <c r="C1928" s="1" t="n">
        <v>26.19</v>
      </c>
      <c r="D1928" s="7" t="n">
        <f>HYPERLINK("https://www.somogyi.sk/product/led-svetelny-zaves-2x1-m-210-led-dlf-210-wh-17814","https://www.somogyi.sk/product/led-svetelny-zaves-2x1-m-210-led-dlf-210-wh-17814")</f>
        <v>0.0</v>
      </c>
      <c r="E1928" s="7" t="n">
        <f>HYPERLINK("https://www.somogyi.sk/data/img/product_main_images/small/17814.jpg","https://www.somogyi.sk/data/img/product_main_images/small/17814.jpg")</f>
        <v>0.0</v>
      </c>
      <c r="F1928" s="2" t="inlineStr">
        <is>
          <t>5999084958367</t>
        </is>
      </c>
      <c r="G1928" s="4" t="inlineStr">
        <is>
          <t xml:space="preserve"> • umiestnenie: na vonkajšie / vnútorné použitie 
 • zdroj svetla: LED 
 • počet zdrojov svetla: 210 ks 
 • farba zdrojov svetla: studená biela 
 • farba kábla: biela 
 • dĺžka: 1 m x 2 m 
 • kompatibilita: s DLI / DLF / DLFJ 
 • napájanie: 31 V DC</t>
        </is>
      </c>
    </row>
    <row r="1929">
      <c r="A1929" s="3" t="inlineStr">
        <is>
          <t>DLFJ 200/WH</t>
        </is>
      </c>
      <c r="B1929" s="2" t="inlineStr">
        <is>
          <t>LED svetelný záves spojovateľný s cencúľmi, 5 m, IP44</t>
        </is>
      </c>
      <c r="C1929" s="1" t="n">
        <v>32.19</v>
      </c>
      <c r="D1929" s="7" t="n">
        <f>HYPERLINK("https://www.somogyi.sk/product/led-svetelny-zaves-spojovatelny-s-cenculmi-5-m-ip44-dlfj-200-wh-14707","https://www.somogyi.sk/product/led-svetelny-zaves-spojovatelny-s-cenculmi-5-m-ip44-dlfj-200-wh-14707")</f>
        <v>0.0</v>
      </c>
      <c r="E1929" s="7" t="n">
        <f>HYPERLINK("https://www.somogyi.sk/data/img/product_main_images/small/14707.jpg","https://www.somogyi.sk/data/img/product_main_images/small/14707.jpg")</f>
        <v>0.0</v>
      </c>
      <c r="F1929" s="2" t="inlineStr">
        <is>
          <t>5999084927493</t>
        </is>
      </c>
      <c r="G1929" s="4" t="inlineStr">
        <is>
          <t xml:space="preserve"> • umiestnenie: vonkajšie / vnútorné použitie 
 • zdroj svetla: LED 
 • počet zdrojov svetla: 200 ks 
 • farba zdrojov svetla: studená biela 
 • farba kábla: biela 
 • charakteristiky: stále svetlo 
 • dĺžka: 5 m 
 • kompatibilita: so sériou DLI / DLF / DLFJ 
 • napájanie: 31 V DC 
 • ďalšie informácie: Dodávame bez sieťového adaptéra (DLA 12W) a napájacieho kábla (DLC 5M)! Jedným sieťovým pripojením sa smie použiť len 1200 ks LED! Pre sieťové pripojenie použite adaptér a napájací prívod len od firmy Somogyi Elektronic!</t>
        </is>
      </c>
    </row>
    <row r="1930">
      <c r="A1930" s="3" t="inlineStr">
        <is>
          <t>DLF 600/WH</t>
        </is>
      </c>
      <c r="B1930" s="2" t="inlineStr">
        <is>
          <t>LED spojovateľný svetelný záves, 2 x 3 m, IP44</t>
        </is>
      </c>
      <c r="C1930" s="1" t="n">
        <v>60.99</v>
      </c>
      <c r="D1930" s="7" t="n">
        <f>HYPERLINK("https://www.somogyi.sk/product/led-spojovatelny-svetelny-zaves-2-x-3-m-ip44-dlf-600-wh-14635","https://www.somogyi.sk/product/led-spojovatelny-svetelny-zaves-2-x-3-m-ip44-dlf-600-wh-14635")</f>
        <v>0.0</v>
      </c>
      <c r="E1930" s="7" t="n">
        <f>HYPERLINK("https://www.somogyi.sk/data/img/product_main_images/small/14635.jpg","https://www.somogyi.sk/data/img/product_main_images/small/14635.jpg")</f>
        <v>0.0</v>
      </c>
      <c r="F1930" s="2" t="inlineStr">
        <is>
          <t>5999084926779</t>
        </is>
      </c>
      <c r="G1930" s="4" t="inlineStr">
        <is>
          <t xml:space="preserve"> • umiestnenie: na vonkajšie / vnútorné použitie 
 • zdroj svetla: LED (stále svetlo) 
 • počet zdrojov svetla: 600 ks 
 • farba zdrojov svetla: studená biela 
 • farba kábla: biela 
 • charakteristiky: 20 reťazcov, 30 LED na jednom reťazci 
 • rozmery: 2 x 3 m 
 •  
 • ďalšie informácie: s jedným sieťovým pripojením je možné prevádzkovať maximálne 1200 LED</t>
        </is>
      </c>
    </row>
    <row r="1931">
      <c r="A1931" s="3" t="inlineStr">
        <is>
          <t>DLC 5M</t>
        </is>
      </c>
      <c r="B1931" s="2" t="inlineStr">
        <is>
          <t>Napájací kábel/predlžovací kábel k výrobkom DLI/DLF/DLFJ, IP44</t>
        </is>
      </c>
      <c r="C1931" s="1" t="n">
        <v>3.69</v>
      </c>
      <c r="D1931" s="7" t="n">
        <f>HYPERLINK("https://www.somogyi.sk/product/napajaci-kabel-predlzovaci-kabel-k-vyrobkom-dli-dlf-dlfj-ip44-dlc-5m-14639","https://www.somogyi.sk/product/napajaci-kabel-predlzovaci-kabel-k-vyrobkom-dli-dlf-dlfj-ip44-dlc-5m-14639")</f>
        <v>0.0</v>
      </c>
      <c r="E1931" s="7" t="n">
        <f>HYPERLINK("https://www.somogyi.sk/data/img/product_main_images/small/14639.jpg","https://www.somogyi.sk/data/img/product_main_images/small/14639.jpg")</f>
        <v>0.0</v>
      </c>
      <c r="F1931" s="2" t="inlineStr">
        <is>
          <t>5999084926816</t>
        </is>
      </c>
      <c r="G1931" s="4" t="inlineStr">
        <is>
          <t xml:space="preserve"> • umiestnenie: vonkajšie / vnútorné použitie 
 • zdroj svetla: - 
 • počet zdrojov svetla: - 
 • farba zdrojov svetla: - 
 • farba kábla: biela 
 • dĺžka: 5 m 
 • kompatibilita: so sériou DLI / DLF / DLFJ 
 • napájanie: - 
 • ďalšie informácie: Pripojiť sa smie len výhradne k sieťovému adaptéru (DLA 12W) a k sériám  DLF, DLI, DLFJ od firmy Somogyi Elektronic!</t>
        </is>
      </c>
    </row>
    <row r="1932">
      <c r="A1932" s="3" t="inlineStr">
        <is>
          <t>DLT</t>
        </is>
      </c>
      <c r="B1932" s="2" t="inlineStr">
        <is>
          <t>T rozbočovač k DLI, DLF</t>
        </is>
      </c>
      <c r="C1932" s="1" t="n">
        <v>4.09</v>
      </c>
      <c r="D1932" s="7" t="n">
        <f>HYPERLINK("https://www.somogyi.sk/product/t-rozbocovac-k-dli-dlf-dlt-17323","https://www.somogyi.sk/product/t-rozbocovac-k-dli-dlf-dlt-17323")</f>
        <v>0.0</v>
      </c>
      <c r="E1932" s="7" t="n">
        <f>HYPERLINK("https://www.somogyi.sk/data/img/product_main_images/small/17323.jpg","https://www.somogyi.sk/data/img/product_main_images/small/17323.jpg")</f>
        <v>0.0</v>
      </c>
      <c r="F1932" s="2" t="inlineStr">
        <is>
          <t>5999084953454</t>
        </is>
      </c>
      <c r="G1932" s="4" t="inlineStr">
        <is>
          <t xml:space="preserve"> • umiestnenie: na vonkajšie / vnútorné použitie</t>
        </is>
      </c>
    </row>
    <row r="1933">
      <c r="A1933" s="3" t="inlineStr">
        <is>
          <t>DLFJ 200F/WW</t>
        </is>
      </c>
      <c r="B1933" s="2" t="inlineStr">
        <is>
          <t>Spojovateľný LED svetelný záves cencúle</t>
        </is>
      </c>
      <c r="C1933" s="1" t="n">
        <v>33.69</v>
      </c>
      <c r="D1933" s="7" t="n">
        <f>HYPERLINK("https://www.somogyi.sk/product/spojovatelny-led-svetelny-zaves-cencule-dlfj-200f-ww-17324","https://www.somogyi.sk/product/spojovatelny-led-svetelny-zaves-cencule-dlfj-200f-ww-17324")</f>
        <v>0.0</v>
      </c>
      <c r="E1933" s="7" t="n">
        <f>HYPERLINK("https://www.somogyi.sk/data/img/product_main_images/small/17324.jpg","https://www.somogyi.sk/data/img/product_main_images/small/17324.jpg")</f>
        <v>0.0</v>
      </c>
      <c r="F1933" s="2" t="inlineStr">
        <is>
          <t>5999084953461</t>
        </is>
      </c>
      <c r="G1933" s="4" t="inlineStr">
        <is>
          <t xml:space="preserve"> • umiestnenie: na vonkajšie / vnútorné použitie 
 • zdroj svetla: LED 
 • počet zdrojov svetla: 200 ks 
 • farba zdrojov svetla: teplá biela 
 • farba kábla: biela farba 
 • dĺžka: 5 m 
 • kompatibilita: s DLI / DLF / DLF 
 • napájanie: 31 V DC</t>
        </is>
      </c>
    </row>
    <row r="1934">
      <c r="A1934" s="3" t="inlineStr">
        <is>
          <t>DLF 600/WW</t>
        </is>
      </c>
      <c r="B1934" s="2" t="inlineStr">
        <is>
          <t>LED spojovateľný svetelný záves, 2 x 3 m, IP44</t>
        </is>
      </c>
      <c r="C1934" s="1" t="n">
        <v>60.99</v>
      </c>
      <c r="D1934" s="7" t="n">
        <f>HYPERLINK("https://www.somogyi.sk/product/led-spojovatelny-svetelny-zaves-2-x-3-m-ip44-dlf-600-ww-14636","https://www.somogyi.sk/product/led-spojovatelny-svetelny-zaves-2-x-3-m-ip44-dlf-600-ww-14636")</f>
        <v>0.0</v>
      </c>
      <c r="E1934" s="7" t="n">
        <f>HYPERLINK("https://www.somogyi.sk/data/img/product_main_images/small/14636.jpg","https://www.somogyi.sk/data/img/product_main_images/small/14636.jpg")</f>
        <v>0.0</v>
      </c>
      <c r="F1934" s="2" t="inlineStr">
        <is>
          <t>5999084926786</t>
        </is>
      </c>
      <c r="G1934" s="4" t="inlineStr">
        <is>
          <t xml:space="preserve"> • umiestnenie: na vonkajšie / vnútorné použitie 
 • zdroj svetla: LED (stále svetlo) 
 • počet zdrojov svetla: 600 ks 
 • farba zdrojov svetla: teplá biela 
 • farba kábla: biela 
 • charakteristiky: 20 reťazcov, 30 LED na jednom reťazci 
 • rozmery: 2 x 3 m 
 •  
 • ďalšie informácie: s jedným sieťovým pripojením je možné prevádzkovať maximálne 1200 LED</t>
        </is>
      </c>
    </row>
    <row r="1935">
      <c r="A1935" s="3" t="inlineStr">
        <is>
          <t>DLF 400/WH</t>
        </is>
      </c>
      <c r="B1935" s="2" t="inlineStr">
        <is>
          <t>LED spojovateľný svetelný záves, 2 x 2 m, IP44</t>
        </is>
      </c>
      <c r="C1935" s="1" t="n">
        <v>41.19</v>
      </c>
      <c r="D1935" s="7" t="n">
        <f>HYPERLINK("https://www.somogyi.sk/product/led-spojovatelny-svetelny-zaves-2-x-2-m-ip44-dlf-400-wh-14637","https://www.somogyi.sk/product/led-spojovatelny-svetelny-zaves-2-x-2-m-ip44-dlf-400-wh-14637")</f>
        <v>0.0</v>
      </c>
      <c r="E1935" s="7" t="n">
        <f>HYPERLINK("https://www.somogyi.sk/data/img/product_main_images/small/14637.jpg","https://www.somogyi.sk/data/img/product_main_images/small/14637.jpg")</f>
        <v>0.0</v>
      </c>
      <c r="F1935" s="2" t="inlineStr">
        <is>
          <t>5999084926793</t>
        </is>
      </c>
      <c r="G1935" s="4" t="inlineStr">
        <is>
          <t xml:space="preserve"> • umiestnenie: na vonkajšie / vnútorné použitie 
 • zdroj svetla: LED (stále svetlo) 
 • počet zdrojov svetla: 400 ks 
 • farba zdrojov svetla: studená biela 
 • farba kábla: biela 
 • charakteristiky: 20 reťazcov, 20 LED na jednom reťazci 
 • rozmery: 2 x 2 m 
 • napájanie: Bez napájacieho kábla a adaptéra! 
 • ďalšie informácie: s jedným sieťovým pripojením je možné prevádzkovať maximálne 1200 LED</t>
        </is>
      </c>
    </row>
    <row r="1936">
      <c r="A1936" s="3" t="inlineStr">
        <is>
          <t>DLFC 600/WH</t>
        </is>
      </c>
      <c r="B1936" s="2" t="inlineStr">
        <is>
          <t>LED spojovateľný cluster svetelný záves</t>
        </is>
      </c>
      <c r="C1936" s="1" t="n">
        <v>47.39</v>
      </c>
      <c r="D1936" s="7" t="n">
        <f>HYPERLINK("https://www.somogyi.sk/product/led-spojovatelny-cluster-svetelny-zaves-dlfc-600-wh-18132","https://www.somogyi.sk/product/led-spojovatelny-cluster-svetelny-zaves-dlfc-600-wh-18132")</f>
        <v>0.0</v>
      </c>
      <c r="E1936" s="7" t="n">
        <f>HYPERLINK("https://www.somogyi.sk/data/img/product_main_images/small/18132.jpg","https://www.somogyi.sk/data/img/product_main_images/small/18132.jpg")</f>
        <v>0.0</v>
      </c>
      <c r="F1936" s="2" t="inlineStr">
        <is>
          <t>5999084961541</t>
        </is>
      </c>
      <c r="G1936" s="4" t="inlineStr">
        <is>
          <t xml:space="preserve"> • umiestnenie: na vonkajšie / vnútorné použitie 
 • zdroj svetla: LED (stále svetlo) 
 • počet zdrojov svetla: 600 ks 
 • farba zdrojov svetla: studená biela 
 • farba kábla: biela 
 • charakteristiky: 10 reťazcov, 60 LED na jednom reťazci 
 • rozmery: 2,7 m šírka x 0,6 m výška • dĺžka cluster reťazcí: 60 cm, vzdialenosť medzi reťazcami 30 cm 
 •  
 • ďalšie informácie: s jedným sieťovým pripojením je možné prevádzkovať maximálne 1200 LED</t>
        </is>
      </c>
    </row>
    <row r="1937">
      <c r="A1937" s="3" t="inlineStr">
        <is>
          <t>DLI 200/WH</t>
        </is>
      </c>
      <c r="B1937" s="2" t="inlineStr">
        <is>
          <t>LED spojovateľný svietiaci reťazec, 10 m, IP44</t>
        </is>
      </c>
      <c r="C1937" s="1" t="n">
        <v>16.59</v>
      </c>
      <c r="D1937" s="7" t="n">
        <f>HYPERLINK("https://www.somogyi.sk/product/led-spojovatelny-svietiaci-retazec-10-m-ip44-dli-200-wh-14632","https://www.somogyi.sk/product/led-spojovatelny-svietiaci-retazec-10-m-ip44-dli-200-wh-14632")</f>
        <v>0.0</v>
      </c>
      <c r="E1937" s="7" t="n">
        <f>HYPERLINK("https://www.somogyi.sk/data/img/product_main_images/small/14632.jpg","https://www.somogyi.sk/data/img/product_main_images/small/14632.jpg")</f>
        <v>0.0</v>
      </c>
      <c r="F1937" s="2" t="inlineStr">
        <is>
          <t>5999084926748</t>
        </is>
      </c>
      <c r="G1937" s="4" t="inlineStr">
        <is>
          <t xml:space="preserve"> • umiestnenie: vonkajšie / vnútorné použitie 
 • zdroj svetla: LED 
 • počet zdrojov svetla: 200 ks 
 • farba zdrojov svetla: studená biela 
 • farba kábla: biela 
 • dĺžka: 10 m 
 • kompatibilita: so sériou DLI / DLF / DLFJ 
 • napájanie: 31 V DC 
 • ďalšie informácie: Dodávame bez sieťového adaptéra (DLA 12W) a napájacieho kábla (DLC 5M)! Jedným sieťovým pripojením sa smie použiť len 1200 ks LED! Pre sieťové pripojenie použite adaptér a napájací prívod len od firmy Somogyi Elektronic!</t>
        </is>
      </c>
    </row>
    <row r="1938">
      <c r="A1938" s="6" t="inlineStr">
        <is>
          <t xml:space="preserve">   Vianočné dekoračné osvetlenie / Svietiaci reťazec</t>
        </is>
      </c>
      <c r="B1938" s="6" t="inlineStr">
        <is>
          <t/>
        </is>
      </c>
      <c r="C1938" s="6" t="inlineStr">
        <is>
          <t/>
        </is>
      </c>
      <c r="D1938" s="6" t="inlineStr">
        <is>
          <t/>
        </is>
      </c>
      <c r="E1938" s="6" t="inlineStr">
        <is>
          <t/>
        </is>
      </c>
      <c r="F1938" s="6" t="inlineStr">
        <is>
          <t/>
        </is>
      </c>
      <c r="G1938" s="6" t="inlineStr">
        <is>
          <t/>
        </is>
      </c>
    </row>
    <row r="1939">
      <c r="A1939" s="3" t="inlineStr">
        <is>
          <t>KII 100/M</t>
        </is>
      </c>
      <c r="B1939" s="2" t="inlineStr">
        <is>
          <t>LED svietiaci reťazec</t>
        </is>
      </c>
      <c r="C1939" s="1" t="n">
        <v>12.09</v>
      </c>
      <c r="D1939" s="7" t="n">
        <f>HYPERLINK("https://www.somogyi.sk/product/led-svietiaci-retazec-kii-100-m-16133","https://www.somogyi.sk/product/led-svietiaci-retazec-kii-100-m-16133")</f>
        <v>0.0</v>
      </c>
      <c r="E1939" s="7" t="n">
        <f>HYPERLINK("https://www.somogyi.sk/data/img/product_main_images/small/16133.jpg","https://www.somogyi.sk/data/img/product_main_images/small/16133.jpg")</f>
        <v>0.0</v>
      </c>
      <c r="F1939" s="2" t="inlineStr">
        <is>
          <t>5999084941659</t>
        </is>
      </c>
      <c r="G1939" s="4" t="inlineStr">
        <is>
          <t xml:space="preserve"> • umiestnenie: na vnútorné použitie 
 • zdroj svetla: LED 
 • počet zdrojov svetla: 100 ks 
 • farba zdrojov svetla: farený 
 • farba kábla: zelená 
 • dĺžka: 8 m 
 • napájanie: 230 V~ (adaptér)</t>
        </is>
      </c>
    </row>
    <row r="1940">
      <c r="A1940" s="3" t="inlineStr">
        <is>
          <t>LED 208C/WH</t>
        </is>
      </c>
      <c r="B1940" s="2" t="inlineStr">
        <is>
          <t>LED svetelný reťazec</t>
        </is>
      </c>
      <c r="C1940" s="1" t="n">
        <v>24.89</v>
      </c>
      <c r="D1940" s="7" t="n">
        <f>HYPERLINK("https://www.somogyi.sk/product/led-svetelny-retazec-led-208c-wh-15482","https://www.somogyi.sk/product/led-svetelny-retazec-led-208c-wh-15482")</f>
        <v>0.0</v>
      </c>
      <c r="E1940" s="7" t="n">
        <f>HYPERLINK("https://www.somogyi.sk/data/img/product_main_images/small/15482.jpg","https://www.somogyi.sk/data/img/product_main_images/small/15482.jpg")</f>
        <v>0.0</v>
      </c>
      <c r="F1940" s="2" t="inlineStr">
        <is>
          <t>5999084935160</t>
        </is>
      </c>
      <c r="G1940" s="4" t="inlineStr">
        <is>
          <t xml:space="preserve"> • umiestnenie: na vonkajšie / vnútorné použitie 
 • zdroj svetla: LED 
 • počet zdrojov svetla: 200 ks 
 • farba zdrojov svetla: studená biela 
 • funkcie: 8 programov 
 • farba kábla: zelená 
 • dĺžka: 14 m 
 • napájanie: 230 V~ (adaptér) 
 • ďalšie informácie: balenie: plastový kufrík</t>
        </is>
      </c>
    </row>
    <row r="1941">
      <c r="A1941" s="3" t="inlineStr">
        <is>
          <t>KKL 1000C/WH</t>
        </is>
      </c>
      <c r="B1941" s="2" t="inlineStr">
        <is>
          <t>LED svietiaci reťazec, 1000 LED, studená biela, stále svetlo, na vonkajšie použitie</t>
        </is>
      </c>
      <c r="C1941" s="1" t="n">
        <v>68.89</v>
      </c>
      <c r="D1941" s="7" t="n">
        <f>HYPERLINK("https://www.somogyi.sk/product/led-svietiaci-retazec-1000-led-studena-biela-stale-svetlo-na-vonkajsie-pouzitie-kkl-1000c-wh-15580","https://www.somogyi.sk/product/led-svietiaci-retazec-1000-led-studena-biela-stale-svetlo-na-vonkajsie-pouzitie-kkl-1000c-wh-15580")</f>
        <v>0.0</v>
      </c>
      <c r="E1941" s="7" t="n">
        <f>HYPERLINK("https://www.somogyi.sk/data/img/product_main_images/small/15580.jpg","https://www.somogyi.sk/data/img/product_main_images/small/15580.jpg")</f>
        <v>0.0</v>
      </c>
      <c r="F1941" s="2" t="inlineStr">
        <is>
          <t>5999084936143</t>
        </is>
      </c>
      <c r="G1941" s="4" t="inlineStr">
        <is>
          <t xml:space="preserve"> • umiestnenie: na vonkajšie / vnútorné použitie 
 • zdroj svetla: LED 
 • počet zdrojov svetla: 1000 ks 
 • farba zdrojov svetla: studená biela 
 • farba kábla: zelená 
 • dĺžka: 70 m 
 • napájanie: 230 V~ (adaptér) 
 • ďalšie informácie: balenie: plastový kufrík</t>
        </is>
      </c>
    </row>
    <row r="1942">
      <c r="A1942" s="3" t="inlineStr">
        <is>
          <t>LED 208C/WW</t>
        </is>
      </c>
      <c r="B1942" s="2" t="inlineStr">
        <is>
          <t>LED svetelný reťazec</t>
        </is>
      </c>
      <c r="C1942" s="1" t="n">
        <v>24.89</v>
      </c>
      <c r="D1942" s="7" t="n">
        <f>HYPERLINK("https://www.somogyi.sk/product/led-svetelny-retazec-led-208c-ww-15483","https://www.somogyi.sk/product/led-svetelny-retazec-led-208c-ww-15483")</f>
        <v>0.0</v>
      </c>
      <c r="E1942" s="7" t="n">
        <f>HYPERLINK("https://www.somogyi.sk/data/img/product_main_images/small/15483.jpg","https://www.somogyi.sk/data/img/product_main_images/small/15483.jpg")</f>
        <v>0.0</v>
      </c>
      <c r="F1942" s="2" t="inlineStr">
        <is>
          <t>5999084935177</t>
        </is>
      </c>
      <c r="G1942" s="4" t="inlineStr">
        <is>
          <t xml:space="preserve"> • umiestnenie: na vonkajšie / vnútorné použitie 
 • zdroj svetla: LED 
 • počet zdrojov svetla: 200 ks 
 • farba zdrojov svetla: teplá biela 
 • funkcie: 8 programov 
 • farba kábla: zelená 
 • dĺžka: 14 m 
 • napájanie: 230 V~ (adaptér) 
 • ďalšie informácie: balenie: plastový kufrík</t>
        </is>
      </c>
    </row>
    <row r="1943">
      <c r="A1943" s="3" t="inlineStr">
        <is>
          <t>MLC 58/M</t>
        </is>
      </c>
      <c r="B1943" s="2" t="inlineStr">
        <is>
          <t>LED mini svietiaci reťazec</t>
        </is>
      </c>
      <c r="C1943" s="1" t="n">
        <v>8.59</v>
      </c>
      <c r="D1943" s="7" t="n">
        <f>HYPERLINK("https://www.somogyi.sk/product/led-mini-svietiaci-retazec-mlc-58-m-17334","https://www.somogyi.sk/product/led-mini-svietiaci-retazec-mlc-58-m-17334")</f>
        <v>0.0</v>
      </c>
      <c r="E1943" s="7" t="n">
        <f>HYPERLINK("https://www.somogyi.sk/data/img/product_main_images/small/17334.jpg","https://www.somogyi.sk/data/img/product_main_images/small/17334.jpg")</f>
        <v>0.0</v>
      </c>
      <c r="F1943" s="2" t="inlineStr">
        <is>
          <t>5999084953560</t>
        </is>
      </c>
      <c r="G1943" s="4" t="inlineStr">
        <is>
          <t xml:space="preserve"> • umiestnenie: na vonkajšie / vnútorné použitie 
 • zdroj svetla: LED 
 • počet zdrojov svetla: 50 ks 
 • farba zdrojov svetla: multicolor 
 • funkcie: 8 programov 
 • farba kábla: zelená 
 • dĺžka: 4,9 m 
 • napájanie: 3 x AA batéria (nie je príslušenstvom) 
 • ďalšie informácie: časovač: 6 hodín svietenia, 18 hodín prestávka</t>
        </is>
      </c>
    </row>
    <row r="1944">
      <c r="A1944" s="3" t="inlineStr">
        <is>
          <t>KII 50/WW</t>
        </is>
      </c>
      <c r="B1944" s="2" t="inlineStr">
        <is>
          <t>LED svietiaci reťazec</t>
        </is>
      </c>
      <c r="C1944" s="1" t="n">
        <v>7.99</v>
      </c>
      <c r="D1944" s="7" t="n">
        <f>HYPERLINK("https://www.somogyi.sk/product/led-svietiaci-retazec-kii-50-ww-16125","https://www.somogyi.sk/product/led-svietiaci-retazec-kii-50-ww-16125")</f>
        <v>0.0</v>
      </c>
      <c r="E1944" s="7" t="n">
        <f>HYPERLINK("https://www.somogyi.sk/data/img/product_main_images/small/16125.jpg","https://www.somogyi.sk/data/img/product_main_images/small/16125.jpg")</f>
        <v>0.0</v>
      </c>
      <c r="F1944" s="2" t="inlineStr">
        <is>
          <t>5999084941574</t>
        </is>
      </c>
      <c r="G1944" s="4" t="inlineStr">
        <is>
          <t xml:space="preserve"> • umiestnenie: na vnútorné použitie 
 • zdroj svetla: LED 
 • počet zdrojov svetla: 50 ks 
 • farba zdrojov svetla: teplá biela 
 • farba kábla: zelená 
 • dĺžka: 4 m 
 • napájanie: 230 V~ (adaptér)</t>
        </is>
      </c>
    </row>
    <row r="1945">
      <c r="A1945" s="3" t="inlineStr">
        <is>
          <t>KKL 200F/WH</t>
        </is>
      </c>
      <c r="B1945" s="2" t="inlineStr">
        <is>
          <t>LED žiariaci svetelný reťazec</t>
        </is>
      </c>
      <c r="C1945" s="1" t="n">
        <v>25.59</v>
      </c>
      <c r="D1945" s="7" t="n">
        <f>HYPERLINK("https://www.somogyi.sk/product/led-ziariaci-svetelny-retazec-kkl-200f-wh-16005","https://www.somogyi.sk/product/led-ziariaci-svetelny-retazec-kkl-200f-wh-16005")</f>
        <v>0.0</v>
      </c>
      <c r="E1945" s="7" t="n">
        <f>HYPERLINK("https://www.somogyi.sk/data/img/product_main_images/small/16005.jpg","https://www.somogyi.sk/data/img/product_main_images/small/16005.jpg")</f>
        <v>0.0</v>
      </c>
      <c r="F1945" s="2" t="inlineStr">
        <is>
          <t>5999084940379</t>
        </is>
      </c>
      <c r="G1945" s="4" t="inlineStr">
        <is>
          <t xml:space="preserve"> • umiestnenie: na vonkajšie / vnútorné použitie 
 • zdroj svetla: LED 
 • počet zdrojov svetla: 200 ks 
 • farba zdrojov svetla: teplá biela 
 • farba kábla: zelená 
 • rozmery: 20 m 
 • napájanie: 230 V~ (adaptér) 
 • ďalšie informácie: každá desiata LED bliká studenou bielou farbou</t>
        </is>
      </c>
    </row>
    <row r="1946">
      <c r="A1946" s="3" t="inlineStr">
        <is>
          <t>KII50CUBE</t>
        </is>
      </c>
      <c r="B1946" s="2" t="inlineStr">
        <is>
          <t>LED svietiaci reťazec, studená biela, 50 LED   50 akrylových kociek, na vnútorné použitie</t>
        </is>
      </c>
      <c r="C1946" s="1" t="n">
        <v>10.39</v>
      </c>
      <c r="D1946" s="7" t="n">
        <f>HYPERLINK("https://www.somogyi.sk/product/led-svietiaci-retazec-studena-biela-50-led-50-akrylovych-kociek-na-vnutorne-pouzitie-kii50cube-18785","https://www.somogyi.sk/product/led-svietiaci-retazec-studena-biela-50-led-50-akrylovych-kociek-na-vnutorne-pouzitie-kii50cube-18785")</f>
        <v>0.0</v>
      </c>
      <c r="E1946" s="7" t="n">
        <f>HYPERLINK("https://www.somogyi.sk/data/img/product_main_images/small/18785.jpg","https://www.somogyi.sk/data/img/product_main_images/small/18785.jpg")</f>
        <v>0.0</v>
      </c>
      <c r="F1946" s="2" t="inlineStr">
        <is>
          <t>5999084968038</t>
        </is>
      </c>
      <c r="G1946" s="4" t="inlineStr">
        <is>
          <t xml:space="preserve"> • umiestnenie: na vnútorné použitie 
 • zdroj svetla: LED 
 • počet zdrojov svetla: 50 ks 
 • farba zdrojov svetla: studená biela 
 • farba kábla: zelená 
 • dĺžka: dĺžka reťazca: 4 m • dĺžka napájacieho kábla: 1,5 m 
 • napájanie: 230V~ sieťový adaptér (je príslušenstvom)</t>
        </is>
      </c>
    </row>
    <row r="1947">
      <c r="A1947" s="3" t="inlineStr">
        <is>
          <t>ML 30/M</t>
        </is>
      </c>
      <c r="B1947" s="2" t="inlineStr">
        <is>
          <t>Micro LED svietiaci reťazec, 30 farebných micro LED</t>
        </is>
      </c>
      <c r="C1947" s="1" t="n">
        <v>2.49</v>
      </c>
      <c r="D1947" s="7" t="n">
        <f>HYPERLINK("https://www.somogyi.sk/product/micro-led-svietiaci-retazec-30-farebnych-micro-led-ml-30-m-17735","https://www.somogyi.sk/product/micro-led-svietiaci-retazec-30-farebnych-micro-led-ml-30-m-17735")</f>
        <v>0.0</v>
      </c>
      <c r="E1947" s="7" t="n">
        <f>HYPERLINK("https://www.somogyi.sk/data/img/product_main_images/small/17735.jpg","https://www.somogyi.sk/data/img/product_main_images/small/17735.jpg")</f>
        <v>0.0</v>
      </c>
      <c r="F1947" s="2" t="inlineStr">
        <is>
          <t>5999084957575</t>
        </is>
      </c>
      <c r="G1947" s="4" t="inlineStr">
        <is>
          <t xml:space="preserve"> • umiestnenie: na vnútorné použitie 
 • zdroj svetla: micro LED 
 • počet zdrojov svetla: 30 ks 
 • farba zdrojov svetla: farebná 
 • funkcie: ON / OFF / TIMER (6 h ON / 18 h OFF) opakujúci sa časovač 
 • farba kábla: priesvitný 
 • dĺžka: 2,9 m 
 • napájanie: 2 x 1,5 V (AA) batéria, nie je príslušenstvom 
 • ďalšie informácie: jasne žiariace, bodové micro LED</t>
        </is>
      </c>
    </row>
    <row r="1948">
      <c r="A1948" s="3" t="inlineStr">
        <is>
          <t>ML 250G/WH</t>
        </is>
      </c>
      <c r="B1948" s="2" t="inlineStr">
        <is>
          <t>Zväzok micro LED svietiacich reťazcov</t>
        </is>
      </c>
      <c r="C1948" s="1" t="n">
        <v>19.19</v>
      </c>
      <c r="D1948" s="7" t="n">
        <f>HYPERLINK("https://www.somogyi.sk/product/zvazok-micro-led-svietiacich-retazcov-ml-250g-wh-16986","https://www.somogyi.sk/product/zvazok-micro-led-svietiacich-retazcov-ml-250g-wh-16986")</f>
        <v>0.0</v>
      </c>
      <c r="E1948" s="7" t="n">
        <f>HYPERLINK("https://www.somogyi.sk/data/img/product_main_images/small/16986.jpg","https://www.somogyi.sk/data/img/product_main_images/small/16986.jpg")</f>
        <v>0.0</v>
      </c>
      <c r="F1948" s="2" t="inlineStr">
        <is>
          <t>5999084950187</t>
        </is>
      </c>
      <c r="G1948" s="4" t="inlineStr">
        <is>
          <t xml:space="preserve"> • umiestnenie: na vonkajšie / vnútorné použitie 
 • zdroj svetla: micro LED 
 • počet zdrojov svetla: 250 ks 
 • farba zdrojov svetla: 250 kd studených bielych, žiariacich bodových micro LED 
 • funkcie: nastaviteľná svietivosť (100/75/50/25%) priebežný prevádzkový čas alebo 6h ON/18h OFF časovač 
 • farba kábla: zelený, tenký kábel 
 • rozmery: 2,4 m 
 • napájanie: sieťový adaptér IP44 na vonkajšie použitie 
 • ďalšie informácie: 10 reťazcí / 25 LED na jednom reťazci, prísavka je príslušenstvom</t>
        </is>
      </c>
    </row>
    <row r="1949">
      <c r="A1949" s="3" t="inlineStr">
        <is>
          <t>ML 30/WH</t>
        </is>
      </c>
      <c r="B1949" s="2" t="inlineStr">
        <is>
          <t>Micro LED svietiaci reťazec, 30 studených bielych micro LED</t>
        </is>
      </c>
      <c r="C1949" s="1" t="n">
        <v>2.49</v>
      </c>
      <c r="D1949" s="7" t="n">
        <f>HYPERLINK("https://www.somogyi.sk/product/micro-led-svietiaci-retazec-30-studenych-bielych-micro-led-ml-30-wh-17733","https://www.somogyi.sk/product/micro-led-svietiaci-retazec-30-studenych-bielych-micro-led-ml-30-wh-17733")</f>
        <v>0.0</v>
      </c>
      <c r="E1949" s="7" t="n">
        <f>HYPERLINK("https://www.somogyi.sk/data/img/product_main_images/small/17733.jpg","https://www.somogyi.sk/data/img/product_main_images/small/17733.jpg")</f>
        <v>0.0</v>
      </c>
      <c r="F1949" s="2" t="inlineStr">
        <is>
          <t>5999084957551</t>
        </is>
      </c>
      <c r="G1949" s="4" t="inlineStr">
        <is>
          <t xml:space="preserve"> • umiestnenie: na vnútorné použitie 
 • zdroj svetla: micro LED 
 • počet zdrojov svetla: 30 ks 
 • farba zdrojov svetla: studená biela 
 • funkcie: ON / OFF / TIMER (6 h ON / 18 h OFF) opakujúci sa časovač 
 • farba kábla: priesvitný 
 • dĺžka: 2,9 m 
 • napájanie: 2 x 1,5 V (AA) batéria, nie je príslušenstvom 
 • ďalšie informácie: jasne žiariace, bodové micro LED</t>
        </is>
      </c>
    </row>
    <row r="1950">
      <c r="A1950" s="3" t="inlineStr">
        <is>
          <t>ML 50/M</t>
        </is>
      </c>
      <c r="B1950" s="2" t="inlineStr">
        <is>
          <t>Micro LED svietiaci reťazec, 50 farebných micro LED</t>
        </is>
      </c>
      <c r="C1950" s="1" t="n">
        <v>3.69</v>
      </c>
      <c r="D1950" s="7" t="n">
        <f>HYPERLINK("https://www.somogyi.sk/product/micro-led-svietiaci-retazec-50-farebnych-micro-led-ml-50-m-17736","https://www.somogyi.sk/product/micro-led-svietiaci-retazec-50-farebnych-micro-led-ml-50-m-17736")</f>
        <v>0.0</v>
      </c>
      <c r="E1950" s="7" t="n">
        <f>HYPERLINK("https://www.somogyi.sk/data/img/product_main_images/small/17736.jpg","https://www.somogyi.sk/data/img/product_main_images/small/17736.jpg")</f>
        <v>0.0</v>
      </c>
      <c r="F1950" s="2" t="inlineStr">
        <is>
          <t>5999084957582</t>
        </is>
      </c>
      <c r="G1950" s="4" t="inlineStr">
        <is>
          <t xml:space="preserve"> • umiestnenie: na vnútorné použitie 
 • zdroj svetla: micro LED 
 • počet zdrojov svetla: 50 ks 
 • farba zdrojov svetla: farebná 
 • funkcie: ON / OFF / TIMER (6 h ON / 18 h OFF) opakujúci sa časovač 
 • farba kábla: transparentný 
 • dĺžka: 4,9 m 
 • napájanie: 3 x 1,5 V (AA) batéria, nie je príslušenstvom 
 • ďalšie informácie: žiariace, bodové micro LED</t>
        </is>
      </c>
    </row>
    <row r="1951">
      <c r="A1951" s="3" t="inlineStr">
        <is>
          <t>LED 202R/WW/M</t>
        </is>
      </c>
      <c r="B1951" s="2" t="inlineStr">
        <is>
          <t>LED DUAL COLOR svietiaci reťazec</t>
        </is>
      </c>
      <c r="C1951" s="1" t="n">
        <v>35.19</v>
      </c>
      <c r="D1951" s="7" t="n">
        <f>HYPERLINK("https://www.somogyi.sk/product/led-dual-color-svietiaci-retazec-led-202r-ww-m-16003","https://www.somogyi.sk/product/led-dual-color-svietiaci-retazec-led-202r-ww-m-16003")</f>
        <v>0.0</v>
      </c>
      <c r="E1951" s="7" t="n">
        <f>HYPERLINK("https://www.somogyi.sk/data/img/product_main_images/small/16003.jpg","https://www.somogyi.sk/data/img/product_main_images/small/16003.jpg")</f>
        <v>0.0</v>
      </c>
      <c r="F1951" s="2" t="inlineStr">
        <is>
          <t>5999084940355</t>
        </is>
      </c>
      <c r="G1951" s="4" t="inlineStr">
        <is>
          <t xml:space="preserve"> • umiestnenie: na vonkajšie / vnútorné použitie 
 • zdroj svetla: LED 
 • počet zdrojov svetla: 200 ks 
 • farba zdrojov svetla: teplá biela / farebná 
 • funkcie: teplé biele / farebné stále svetlo 
 • farba kábla: čierna 
 • dĺžka: 14 m 
 • napájanie: 230 V~ (s adaptérom) 
 • ďalšie informácie: časovač, 6 h svieti, 18 h pauza, s diaľ. ovládačom</t>
        </is>
      </c>
    </row>
    <row r="1952">
      <c r="A1952" s="3" t="inlineStr">
        <is>
          <t>KKL 1000C/WW</t>
        </is>
      </c>
      <c r="B1952" s="2" t="inlineStr">
        <is>
          <t>LED svietiaci reťazec, 1000 LED, teplá biela, stále svetlo, na vonkajšie použitie</t>
        </is>
      </c>
      <c r="C1952" s="1" t="n">
        <v>68.89</v>
      </c>
      <c r="D1952" s="7" t="n">
        <f>HYPERLINK("https://www.somogyi.sk/product/led-svietiaci-retazec-1000-led-tepla-biela-stale-svetlo-na-vonkajsie-pouzitie-kkl-1000c-ww-15581","https://www.somogyi.sk/product/led-svietiaci-retazec-1000-led-tepla-biela-stale-svetlo-na-vonkajsie-pouzitie-kkl-1000c-ww-15581")</f>
        <v>0.0</v>
      </c>
      <c r="E1952" s="7" t="n">
        <f>HYPERLINK("https://www.somogyi.sk/data/img/product_main_images/small/15581.jpg","https://www.somogyi.sk/data/img/product_main_images/small/15581.jpg")</f>
        <v>0.0</v>
      </c>
      <c r="F1952" s="2" t="inlineStr">
        <is>
          <t>5999084936150</t>
        </is>
      </c>
      <c r="G1952" s="4" t="inlineStr">
        <is>
          <t xml:space="preserve"> • umiestnenie: na vonkajšie / vnútorné použitie 
 • zdroj svetla: LED 
 • počet zdrojov svetla: 1000 ks 
 • farba zdrojov svetla: teplá biela 
 • farba kábla: zelená 
 • dĺžka: 70 m 
 • napájanie: 230 V~ (adaptér) 
 • ďalšie informácie: balenie: plastový kufrík</t>
        </is>
      </c>
    </row>
    <row r="1953">
      <c r="A1953" s="3" t="inlineStr">
        <is>
          <t>KII 50/R</t>
        </is>
      </c>
      <c r="B1953" s="2" t="inlineStr">
        <is>
          <t>LED svietiaci reťazec</t>
        </is>
      </c>
      <c r="C1953" s="1" t="n">
        <v>7.99</v>
      </c>
      <c r="D1953" s="7" t="n">
        <f>HYPERLINK("https://www.somogyi.sk/product/led-svietiaci-retazec-kii-50-r-16127","https://www.somogyi.sk/product/led-svietiaci-retazec-kii-50-r-16127")</f>
        <v>0.0</v>
      </c>
      <c r="E1953" s="7" t="n">
        <f>HYPERLINK("https://www.somogyi.sk/data/img/product_main_images/small/16127.jpg","https://www.somogyi.sk/data/img/product_main_images/small/16127.jpg")</f>
        <v>0.0</v>
      </c>
      <c r="F1953" s="2" t="inlineStr">
        <is>
          <t>5999084941598</t>
        </is>
      </c>
      <c r="G1953" s="4" t="inlineStr">
        <is>
          <t xml:space="preserve"> • umiestnenie: na vnútorné použitie 
 • zdroj svetla: LED 
 • počet zdrojov svetla: 50 ks 
 • farba zdrojov svetla: červená 
 • farba kábla: zelená 
 • dĺžka: 4 m 
 • napájanie: 230 V~ (adaptér)</t>
        </is>
      </c>
    </row>
    <row r="1954">
      <c r="A1954" s="3" t="inlineStr">
        <is>
          <t>LEDS120V-C</t>
        </is>
      </c>
      <c r="B1954" s="2" t="inlineStr">
        <is>
          <t>iSparkle microLED cluster svietiaci reťazec, SMART, RGB, 120 LED, IP44</t>
        </is>
      </c>
      <c r="C1954" s="1" t="n">
        <v>25.79</v>
      </c>
      <c r="D1954" s="7" t="n">
        <f>HYPERLINK("https://www.somogyi.sk/product/isparkle-microled-cluster-svietiaci-retazec-smart-rgb-120-led-ip44-leds120v-c-17716","https://www.somogyi.sk/product/isparkle-microled-cluster-svietiaci-retazec-smart-rgb-120-led-ip44-leds120v-c-17716")</f>
        <v>0.0</v>
      </c>
      <c r="E1954" s="7" t="n">
        <f>HYPERLINK("https://www.somogyi.sk/data/img/product_main_images/small/17716.jpg","https://www.somogyi.sk/data/img/product_main_images/small/17716.jpg")</f>
        <v>0.0</v>
      </c>
      <c r="F1954" s="2" t="inlineStr">
        <is>
          <t>5999084957384</t>
        </is>
      </c>
      <c r="G1954" s="4" t="inlineStr">
        <is>
          <t xml:space="preserve"> • umiestnenie: na vonkajšie / vnútorné použitie 
 • zdroj svetla: RGB micro LED 
 • počet zdrojov svetla: 120 ks 
 • farba zdrojov svetla: 8 druhov 
 • funkcie: 64 druhov 
 • farba kábla: strieborná 
 • dĺžka: 8 m (3 m füzérhossz   5 m tápvezeték) 
 • napájanie: IP44 sieťový adaptér na vonkajšie použitie (je príslušenstvom)</t>
        </is>
      </c>
    </row>
    <row r="1955">
      <c r="A1955" s="3" t="inlineStr">
        <is>
          <t>LEDS120CV-2</t>
        </is>
      </c>
      <c r="B1955" s="2" t="inlineStr">
        <is>
          <t>iSparkle microLED svietiaci záves, SMART, RGB, 120 LED, IP44</t>
        </is>
      </c>
      <c r="C1955" s="1" t="n">
        <v>28.19</v>
      </c>
      <c r="D1955" s="7" t="n">
        <f>HYPERLINK("https://www.somogyi.sk/product/isparkle-microled-svietiaci-zaves-smart-rgb-120-led-ip44-leds120cv-2-17717","https://www.somogyi.sk/product/isparkle-microled-svietiaci-zaves-smart-rgb-120-led-ip44-leds120cv-2-17717")</f>
        <v>0.0</v>
      </c>
      <c r="E1955" s="7" t="n">
        <f>HYPERLINK("https://www.somogyi.sk/data/img/product_main_images/small/17717.jpg","https://www.somogyi.sk/data/img/product_main_images/small/17717.jpg")</f>
        <v>0.0</v>
      </c>
      <c r="F1955" s="2" t="inlineStr">
        <is>
          <t>5999084957391</t>
        </is>
      </c>
      <c r="G1955" s="4" t="inlineStr">
        <is>
          <t xml:space="preserve"> • na vnútorné a vonkajšie použitie 
 • 120 ks RGB micro LED 
 • ovládanie pomocou aplikácie iSparkle 
 • 6 reťazcov 
 • nastaviteľné farby a režimy 
 • viacero produktov je možné zoskupiť a ovládať súčasne 
 • 5 m napájací kábel 
 • napájanie: sieťový adaptér IP44 na vonkajšie použitie 
 • farba kábla: strieborná</t>
        </is>
      </c>
    </row>
    <row r="1956">
      <c r="A1956" s="3" t="inlineStr">
        <is>
          <t>KII 100/P</t>
        </is>
      </c>
      <c r="B1956" s="2" t="inlineStr">
        <is>
          <t>LED svietiaci reťazec</t>
        </is>
      </c>
      <c r="C1956" s="1" t="n">
        <v>12.09</v>
      </c>
      <c r="D1956" s="7" t="n">
        <f>HYPERLINK("https://www.somogyi.sk/product/led-svietiaci-retazec-kii-100-p-16136","https://www.somogyi.sk/product/led-svietiaci-retazec-kii-100-p-16136")</f>
        <v>0.0</v>
      </c>
      <c r="E1956" s="7" t="n">
        <f>HYPERLINK("https://www.somogyi.sk/data/img/product_main_images/small/16136.jpg","https://www.somogyi.sk/data/img/product_main_images/small/16136.jpg")</f>
        <v>0.0</v>
      </c>
      <c r="F1956" s="2" t="inlineStr">
        <is>
          <t>5999084941680</t>
        </is>
      </c>
      <c r="G1956" s="4" t="inlineStr">
        <is>
          <t xml:space="preserve"> • umiestnenie: na vnútorné použitie 
 • zdroj svetla: LED 
 • počet zdrojov svetla: 100 ks 
 • farba zdrojov svetla: ružová 
 • farba kábla: zelená 
 • dĺžka: 8 m 
 • napájanie: 230 V~ (adaptér)</t>
        </is>
      </c>
    </row>
    <row r="1957">
      <c r="A1957" s="3" t="inlineStr">
        <is>
          <t>KII 100/R</t>
        </is>
      </c>
      <c r="B1957" s="2" t="inlineStr">
        <is>
          <t>LED svietiaci reťazec</t>
        </is>
      </c>
      <c r="C1957" s="1" t="n">
        <v>12.09</v>
      </c>
      <c r="D1957" s="7" t="n">
        <f>HYPERLINK("https://www.somogyi.sk/product/led-svietiaci-retazec-kii-100-r-16134","https://www.somogyi.sk/product/led-svietiaci-retazec-kii-100-r-16134")</f>
        <v>0.0</v>
      </c>
      <c r="E1957" s="7" t="n">
        <f>HYPERLINK("https://www.somogyi.sk/data/img/product_main_images/small/16134.jpg","https://www.somogyi.sk/data/img/product_main_images/small/16134.jpg")</f>
        <v>0.0</v>
      </c>
      <c r="F1957" s="2" t="inlineStr">
        <is>
          <t>5999084941666</t>
        </is>
      </c>
      <c r="G1957" s="4" t="inlineStr">
        <is>
          <t xml:space="preserve"> • umiestnenie: na vnútorné použitie 
 • zdroj svetla: LED 
 • počet zdrojov svetla: 100 ks 
 • farba zdrojov svetla: červená 
 • farba kábla: zelená 
 • dĺžka: 8 m 
 • napájanie: 230 V~ (adaptér)</t>
        </is>
      </c>
    </row>
    <row r="1958">
      <c r="A1958" s="3" t="inlineStr">
        <is>
          <t>LED 108C/WW</t>
        </is>
      </c>
      <c r="B1958" s="2" t="inlineStr">
        <is>
          <t>LED svetelný reťazec</t>
        </is>
      </c>
      <c r="C1958" s="1" t="n">
        <v>15.29</v>
      </c>
      <c r="D1958" s="7" t="n">
        <f>HYPERLINK("https://www.somogyi.sk/product/led-svetelny-retazec-led-108c-ww-15480","https://www.somogyi.sk/product/led-svetelny-retazec-led-108c-ww-15480")</f>
        <v>0.0</v>
      </c>
      <c r="E1958" s="7" t="n">
        <f>HYPERLINK("https://www.somogyi.sk/data/img/product_main_images/small/15480.jpg","https://www.somogyi.sk/data/img/product_main_images/small/15480.jpg")</f>
        <v>0.0</v>
      </c>
      <c r="F1958" s="2" t="inlineStr">
        <is>
          <t>5999084935146</t>
        </is>
      </c>
      <c r="G1958" s="4" t="inlineStr">
        <is>
          <t xml:space="preserve"> • umiestnenie: na vonkajšie / vnútorné použitie 
 • zdroj svetla: LED 
 • počet zdrojov svetla: 100 ks 
 • farba zdrojov svetla: teplá biela 
 • funkcie: 8 programov 
 • farba kábla: zelená 
 • dĺžka: 7 m 
 • napájanie: 230 V~ (adaptér) 
 • ďalšie informácie: balenie: plastový kufrík</t>
        </is>
      </c>
    </row>
    <row r="1959">
      <c r="A1959" s="3" t="inlineStr">
        <is>
          <t>MLF 300/WW</t>
        </is>
      </c>
      <c r="B1959" s="2" t="inlineStr">
        <is>
          <t>Micro LED cluster svietiaci záves, multicolor, 8 pr.</t>
        </is>
      </c>
      <c r="C1959" s="1" t="n">
        <v>35.69</v>
      </c>
      <c r="D1959" s="7" t="n">
        <f>HYPERLINK("https://www.somogyi.sk/product/micro-led-cluster-svietiaci-zaves-multicolor-8-pr-mlf-300-ww-16532","https://www.somogyi.sk/product/micro-led-cluster-svietiaci-zaves-multicolor-8-pr-mlf-300-ww-16532")</f>
        <v>0.0</v>
      </c>
      <c r="E1959" s="7" t="n">
        <f>HYPERLINK("https://www.somogyi.sk/data/img/product_main_images/small/16532.jpg","https://www.somogyi.sk/data/img/product_main_images/small/16532.jpg")</f>
        <v>0.0</v>
      </c>
      <c r="F1959" s="2" t="inlineStr">
        <is>
          <t>5999084945640</t>
        </is>
      </c>
      <c r="G1959" s="4" t="inlineStr">
        <is>
          <t xml:space="preserve"> • umiestnenie: na vonkajšie / vnútorné použitie 
 • zdroj svetla: LED 
 • počet zdrojov svetla: 300 ks 
 • farba zdrojov svetla: teplá biela 
 • funkcie: 8 programov / 4 stupne svietivosti / priebežná prevádzka alebo časovač 
 • farba kábla: transparentný 
 • dĺžka: 3 m 
 • napájanie: IP44 vonkajší adaptér 
 • ďalšie informácie: s diaľkovým ovládačom (CR2025 batéria je príslušenstvom)</t>
        </is>
      </c>
    </row>
    <row r="1960">
      <c r="A1960" s="3" t="inlineStr">
        <is>
          <t>ML26M</t>
        </is>
      </c>
      <c r="B1960" s="2" t="inlineStr">
        <is>
          <t>Micro LED svietiaci reťazec, 6/18 h timer, 20 farebných micro LED</t>
        </is>
      </c>
      <c r="C1960" s="1" t="n">
        <v>2.49</v>
      </c>
      <c r="D1960" s="7" t="n">
        <f>HYPERLINK("https://www.somogyi.sk/product/micro-led-svietiaci-retazec-6-18-h-timer-20-farebnych-micro-led-ml26m-18590","https://www.somogyi.sk/product/micro-led-svietiaci-retazec-6-18-h-timer-20-farebnych-micro-led-ml26m-18590")</f>
        <v>0.0</v>
      </c>
      <c r="E1960" s="7" t="n">
        <f>HYPERLINK("https://www.somogyi.sk/data/img/product_main_images/small/18590.jpg","https://www.somogyi.sk/data/img/product_main_images/small/18590.jpg")</f>
        <v>0.0</v>
      </c>
      <c r="F1960" s="2" t="inlineStr">
        <is>
          <t>5999084966089</t>
        </is>
      </c>
      <c r="G1960" s="4" t="inlineStr">
        <is>
          <t xml:space="preserve"> • umiestnenie: na vnútorné použitie 
 • zdroj svetla: micro LED 
 • počet zdrojov svetla: 20 ks 
 • farba zdrojov svetla: farebný 
 • časovač: ON / OFF / TIMER (6 h ON / 18 h OFF) opakujúci sa časovač 
 • charakteristiky: žiariace, bodové micro LED 
 • farba kábla: priesvitný 
 • dĺžka: 1,9 m dĺžka reťazca (10 cm medzi LED) 
 • dĺžka napájacieho kábla: 20 cm 
 • napájanie: 2 x 1,5V (AA) batéria, nie je príslušenstvom</t>
        </is>
      </c>
    </row>
    <row r="1961">
      <c r="A1961" s="3" t="inlineStr">
        <is>
          <t>MFW 120/WW</t>
        </is>
      </c>
      <c r="B1961" s="2" t="inlineStr">
        <is>
          <t>Micro LED fireworks dekorácia, 8 pr.</t>
        </is>
      </c>
      <c r="C1961" s="1" t="n">
        <v>15.39</v>
      </c>
      <c r="D1961" s="7" t="n">
        <f>HYPERLINK("https://www.somogyi.sk/product/micro-led-fireworks-dekoracia-8-pr-mfw-120-ww-16531","https://www.somogyi.sk/product/micro-led-fireworks-dekoracia-8-pr-mfw-120-ww-16531")</f>
        <v>0.0</v>
      </c>
      <c r="E1961" s="7" t="n">
        <f>HYPERLINK("https://www.somogyi.sk/data/img/product_main_images/small/16531.jpg","https://www.somogyi.sk/data/img/product_main_images/small/16531.jpg")</f>
        <v>0.0</v>
      </c>
      <c r="F1961" s="2" t="inlineStr">
        <is>
          <t>5999084945633</t>
        </is>
      </c>
      <c r="G1961" s="4" t="inlineStr">
        <is>
          <t xml:space="preserve"> • umiestnenie: na vonkajšie / vnútorné použitie 
 • zdroj svetla: micro LED 
 • počet zdrojov svetla: 120 ks teplých bielych LED 
 • 60 ks formovateľných vlákien, dĺžka: 17 cm 
 • farba zdrojov svetla: teplá biela 
 • funkcie: 8 funkcií 
 • farba kábla: strieborná farba 
 • rozmery: ø34 cm 
 • dĺžka: 17   30 cm 
 • napájanie: 4 x 1,5 V (AA) batéria, nie je príslušenstvom 
 • ďalšie informácie: 8 funkcií 
 • 6 h ON / 18 h OFF časovač 
 • nastaviteľná svietivosť 
 • s diaľkovým ovládačom (CR2025 batéria, je príslušenstvom)</t>
        </is>
      </c>
    </row>
    <row r="1962">
      <c r="A1962" s="3" t="inlineStr">
        <is>
          <t>LC 768/M</t>
        </is>
      </c>
      <c r="B1962" s="2" t="inlineStr">
        <is>
          <t>LED cluster svietiaci reťazec</t>
        </is>
      </c>
      <c r="C1962" s="1" t="n">
        <v>57.79</v>
      </c>
      <c r="D1962" s="7" t="n">
        <f>HYPERLINK("https://www.somogyi.sk/product/led-cluster-svietiaci-retazec-lc-768-m-17503","https://www.somogyi.sk/product/led-cluster-svietiaci-retazec-lc-768-m-17503")</f>
        <v>0.0</v>
      </c>
      <c r="E1962" s="7" t="n">
        <f>HYPERLINK("https://www.somogyi.sk/data/img/product_main_images/small/17503.jpg","https://www.somogyi.sk/data/img/product_main_images/small/17503.jpg")</f>
        <v>0.0</v>
      </c>
      <c r="F1962" s="2" t="inlineStr">
        <is>
          <t>5999084955250</t>
        </is>
      </c>
      <c r="G1962" s="4" t="inlineStr">
        <is>
          <t xml:space="preserve"> • umiestnenie: na vonkajšie / vnútorné použitie 
 • zdroj svetla: LED 
 • počet zdrojov svetla: 768 ks 
 • farba zdrojov svetla: farebná 
 • funkcie: 8 funkcií, pamäť, nastaviteľná svietivosť, nepretržitý režim alebo 6h ON/18h OFF / 8h ON/16h OFF / 6h ON/6h OFF opakované časovanie 
 • dĺžka: 7,5 m 
 • napájanie: IP44 sieťový adaptér na vonkajšie použitie (je príslušenstvom) 
 • ďalšie informácie: diaľkový ovládač (CR2025 batéria, je príslušenstvom)</t>
        </is>
      </c>
    </row>
    <row r="1963">
      <c r="A1963" s="3" t="inlineStr">
        <is>
          <t>ML 150/WW</t>
        </is>
      </c>
      <c r="B1963" s="2" t="inlineStr">
        <is>
          <t>Zväzok micro LED svietiacich reťazcov</t>
        </is>
      </c>
      <c r="C1963" s="1" t="n">
        <v>12.19</v>
      </c>
      <c r="D1963" s="7" t="n">
        <f>HYPERLINK("https://www.somogyi.sk/product/zvazok-micro-led-svietiacich-retazcov-ml-150-ww-14002","https://www.somogyi.sk/product/zvazok-micro-led-svietiacich-retazcov-ml-150-ww-14002")</f>
        <v>0.0</v>
      </c>
      <c r="E1963" s="7" t="n">
        <f>HYPERLINK("https://www.somogyi.sk/data/img/product_main_images/small/14002.jpg","https://www.somogyi.sk/data/img/product_main_images/small/14002.jpg")</f>
        <v>0.0</v>
      </c>
      <c r="F1963" s="2" t="inlineStr">
        <is>
          <t>5999084920548</t>
        </is>
      </c>
      <c r="G1963" s="4" t="inlineStr">
        <is>
          <t xml:space="preserve"> • umiestnenie: vonkajšie / vnútorné použitie 
 • zdroj svetla: mikro LED 
 • počet zdrojov svetla: 150 ks 
 • farba zdrojov svetla: teplá biela 
 • funkcie: - 
 • farba kábla: medená farba 
 • dĺžka: 2,4 m 
 • napájanie: 230 V~ (adaptérové)</t>
        </is>
      </c>
    </row>
    <row r="1964">
      <c r="A1964" s="3" t="inlineStr">
        <is>
          <t>LED 205/WW/M</t>
        </is>
      </c>
      <c r="B1964" s="2" t="inlineStr">
        <is>
          <t>LED svietiaci reťazec DUAL COLOR</t>
        </is>
      </c>
      <c r="C1964" s="1" t="n">
        <v>29.89</v>
      </c>
      <c r="D1964" s="7" t="n">
        <f>HYPERLINK("https://www.somogyi.sk/product/led-svietiaci-retazec-dual-color-led-205-ww-m-15611","https://www.somogyi.sk/product/led-svietiaci-retazec-dual-color-led-205-ww-m-15611")</f>
        <v>0.0</v>
      </c>
      <c r="E1964" s="7" t="n">
        <f>HYPERLINK("https://www.somogyi.sk/data/img/product_main_images/small/15611.jpg","https://www.somogyi.sk/data/img/product_main_images/small/15611.jpg")</f>
        <v>0.0</v>
      </c>
      <c r="F1964" s="2" t="inlineStr">
        <is>
          <t>5999084936457</t>
        </is>
      </c>
      <c r="G1964" s="4" t="inlineStr">
        <is>
          <t xml:space="preserve"> • umiestnenie: na vonkajšie / vnútorné použitie 
 • zdroj svetla: LED 
 • počet zdrojov svetla: 200 ks 
 • farba zdrojov svetla: teplá biela / farebná 
 • funkcie: 5 programov: farebné stále svetlo, farebné blikajúce svetlo, teplé biele stále svetlo, teplé biele blikajúce svetlo, striedavo blikajúce teplé biele a farebné svetlo 
 • farba kábla: zelená 
 • dĺžka: 14 m 
 • napájanie: 230 V~ (adaptér) 
 • ďalšie informácie: v plastovom kufríku</t>
        </is>
      </c>
    </row>
    <row r="1965">
      <c r="A1965" s="3" t="inlineStr">
        <is>
          <t>LED 108C/WH</t>
        </is>
      </c>
      <c r="B1965" s="2" t="inlineStr">
        <is>
          <t>LED svetelný reťazec</t>
        </is>
      </c>
      <c r="C1965" s="1" t="n">
        <v>15.29</v>
      </c>
      <c r="D1965" s="7" t="n">
        <f>HYPERLINK("https://www.somogyi.sk/product/led-svetelny-retazec-led-108c-wh-15479","https://www.somogyi.sk/product/led-svetelny-retazec-led-108c-wh-15479")</f>
        <v>0.0</v>
      </c>
      <c r="E1965" s="7" t="n">
        <f>HYPERLINK("https://www.somogyi.sk/data/img/product_main_images/small/15479.jpg","https://www.somogyi.sk/data/img/product_main_images/small/15479.jpg")</f>
        <v>0.0</v>
      </c>
      <c r="F1965" s="2" t="inlineStr">
        <is>
          <t>5999084935139</t>
        </is>
      </c>
      <c r="G1965" s="4" t="inlineStr">
        <is>
          <t xml:space="preserve"> • umiestnenie: na vonkajšie / vnútorné použitie 
 • zdroj svetla: LED 
 • počet zdrojov svetla: 100 ks 
 • farba zdrojov svetla: studená biela 
 • funkcie: 8 programov 
 • farba kábla: zelená 
 • dĺžka: 7 m 
 • napájanie: 230 V~ (adaptér) 
 • ďalšie informácie: balenie: plastový kufrík</t>
        </is>
      </c>
    </row>
    <row r="1966">
      <c r="A1966" s="3" t="inlineStr">
        <is>
          <t>LED 208C/M</t>
        </is>
      </c>
      <c r="B1966" s="2" t="inlineStr">
        <is>
          <t>LED svetelný reťazec</t>
        </is>
      </c>
      <c r="C1966" s="1" t="n">
        <v>24.89</v>
      </c>
      <c r="D1966" s="7" t="n">
        <f>HYPERLINK("https://www.somogyi.sk/product/led-svetelny-retazec-led-208c-m-15481","https://www.somogyi.sk/product/led-svetelny-retazec-led-208c-m-15481")</f>
        <v>0.0</v>
      </c>
      <c r="E1966" s="7" t="n">
        <f>HYPERLINK("https://www.somogyi.sk/data/img/product_main_images/small/15481.jpg","https://www.somogyi.sk/data/img/product_main_images/small/15481.jpg")</f>
        <v>0.0</v>
      </c>
      <c r="F1966" s="2" t="inlineStr">
        <is>
          <t>5999084935153</t>
        </is>
      </c>
      <c r="G1966" s="4" t="inlineStr">
        <is>
          <t xml:space="preserve"> • umiestnenie: na vonkajšie / vnútorné použitie 
 • zdroj svetla: LED 
 • počet zdrojov svetla: 200 ks 
 • farba zdrojov svetla: farebná 
 • funkcie: 8 programov 
 • farba kábla: zelená 
 • dĺžka: 14 m 
 • napájanie: 230 V~ (adaptér) 
 • ďalšie informácie: balenie: plastový kufrík</t>
        </is>
      </c>
    </row>
    <row r="1967">
      <c r="A1967" s="3" t="inlineStr">
        <is>
          <t>KII 50B/M</t>
        </is>
      </c>
      <c r="B1967" s="2" t="inlineStr">
        <is>
          <t>LED svietiaci reťazec guľa</t>
        </is>
      </c>
      <c r="C1967" s="1" t="n">
        <v>10.69</v>
      </c>
      <c r="D1967" s="7" t="n">
        <f>HYPERLINK("https://www.somogyi.sk/product/led-svietiaci-retazec-gula-kii-50b-m-16142","https://www.somogyi.sk/product/led-svietiaci-retazec-gula-kii-50b-m-16142")</f>
        <v>0.0</v>
      </c>
      <c r="E1967" s="7" t="n">
        <f>HYPERLINK("https://www.somogyi.sk/data/img/product_main_images/small/16142.jpg","https://www.somogyi.sk/data/img/product_main_images/small/16142.jpg")</f>
        <v>0.0</v>
      </c>
      <c r="F1967" s="2" t="inlineStr">
        <is>
          <t>5999084941741</t>
        </is>
      </c>
      <c r="G1967" s="4" t="inlineStr">
        <is>
          <t xml:space="preserve"> • umiestnenie: na vnútorné použitie 
 • zdroj svetla: LED 
 • počet zdrojov svetla: 50 ks 
 • farba zdrojov svetla: farebná 
 • farba kábla: zelená 
 • dĺžka: 4 m 
 • napájanie: 230 V~ (adaptér)</t>
        </is>
      </c>
    </row>
    <row r="1968">
      <c r="A1968" s="3" t="inlineStr">
        <is>
          <t>KII 50/WH</t>
        </is>
      </c>
      <c r="B1968" s="2" t="inlineStr">
        <is>
          <t>LED svietiaci reťazec</t>
        </is>
      </c>
      <c r="C1968" s="1" t="n">
        <v>7.99</v>
      </c>
      <c r="D1968" s="7" t="n">
        <f>HYPERLINK("https://www.somogyi.sk/product/led-svietiaci-retazec-kii-50-wh-16124","https://www.somogyi.sk/product/led-svietiaci-retazec-kii-50-wh-16124")</f>
        <v>0.0</v>
      </c>
      <c r="E1968" s="7" t="n">
        <f>HYPERLINK("https://www.somogyi.sk/data/img/product_main_images/small/16124.jpg","https://www.somogyi.sk/data/img/product_main_images/small/16124.jpg")</f>
        <v>0.0</v>
      </c>
      <c r="F1968" s="2" t="inlineStr">
        <is>
          <t>5999084941567</t>
        </is>
      </c>
      <c r="G1968" s="4" t="inlineStr">
        <is>
          <t xml:space="preserve"> • umiestnenie: na vnútorné použitie 
 • zdroj svetla: LED 
 • počet zdrojov svetla: 50 ks 
 • farba zdrojov svetla: studená biela 
 • farba kábla: zelená 
 • dĺžka: 4 m 
 • napájanie: 230 V~ (adaptér)</t>
        </is>
      </c>
    </row>
    <row r="1969">
      <c r="A1969" s="3" t="inlineStr">
        <is>
          <t>KII 50/BL</t>
        </is>
      </c>
      <c r="B1969" s="2" t="inlineStr">
        <is>
          <t>LED svietiaci reťazec</t>
        </is>
      </c>
      <c r="C1969" s="1" t="n">
        <v>7.99</v>
      </c>
      <c r="D1969" s="7" t="n">
        <f>HYPERLINK("https://www.somogyi.sk/product/led-svietiaci-retazec-kii-50-bl-16128","https://www.somogyi.sk/product/led-svietiaci-retazec-kii-50-bl-16128")</f>
        <v>0.0</v>
      </c>
      <c r="E1969" s="7" t="n">
        <f>HYPERLINK("https://www.somogyi.sk/data/img/product_main_images/small/16128.jpg","https://www.somogyi.sk/data/img/product_main_images/small/16128.jpg")</f>
        <v>0.0</v>
      </c>
      <c r="F1969" s="2" t="inlineStr">
        <is>
          <t>5999084941604</t>
        </is>
      </c>
      <c r="G1969" s="4" t="inlineStr">
        <is>
          <t xml:space="preserve"> • umiestnenie: na vnútorné použitie 
 • zdroj svetla: LED 
 • počet zdrojov svetla: 50 ks 
 • farba zdrojov svetla: modrá 
 • farba kábla: zelená 
 • dĺžka: 4 m 
 • napájanie: 230 V~ (adaptér)</t>
        </is>
      </c>
    </row>
    <row r="1970">
      <c r="A1970" s="3" t="inlineStr">
        <is>
          <t>LED 105/WW/M</t>
        </is>
      </c>
      <c r="B1970" s="2" t="inlineStr">
        <is>
          <t>LED svietiaci reťazec DUAL COLOR</t>
        </is>
      </c>
      <c r="C1970" s="1" t="n">
        <v>22.29</v>
      </c>
      <c r="D1970" s="7" t="n">
        <f>HYPERLINK("https://www.somogyi.sk/product/led-svietiaci-retazec-dual-color-led-105-ww-m-15610","https://www.somogyi.sk/product/led-svietiaci-retazec-dual-color-led-105-ww-m-15610")</f>
        <v>0.0</v>
      </c>
      <c r="E1970" s="7" t="n">
        <f>HYPERLINK("https://www.somogyi.sk/data/img/product_main_images/small/15610.jpg","https://www.somogyi.sk/data/img/product_main_images/small/15610.jpg")</f>
        <v>0.0</v>
      </c>
      <c r="F1970" s="2" t="inlineStr">
        <is>
          <t>5999084936440</t>
        </is>
      </c>
      <c r="G1970" s="4" t="inlineStr">
        <is>
          <t xml:space="preserve"> • umiestnenie: na vonkajšie / vnútorné použitie 
 • zdroj svetla: LED 
 • počet zdrojov svetla: 100 ks 
 • farba zdrojov svetla: teplá biela / farebná 
 • funkcie: 5 programov: farebné stále svetlo, farebné blikajúce svetlo, teplé biele stále svetlo, teplé biele blikajúce svetlo, striedavo blikajúce teplé biele a farebné svetlo 
 • farba kábla: čierna 
 • dĺžka: 7 m 
 • napájanie: 230 V~ (adaptér) 
 • ďalšie informácie: v plastovom kufríku</t>
        </is>
      </c>
    </row>
    <row r="1971">
      <c r="A1971" s="3" t="inlineStr">
        <is>
          <t>ML 20/WW</t>
        </is>
      </c>
      <c r="B1971" s="2" t="inlineStr">
        <is>
          <t>LED reťazec</t>
        </is>
      </c>
      <c r="C1971" s="1" t="n">
        <v>2.29</v>
      </c>
      <c r="D1971" s="7" t="n">
        <f>HYPERLINK("https://www.somogyi.sk/product/led-retazec-ml-20-ww-14718","https://www.somogyi.sk/product/led-retazec-ml-20-ww-14718")</f>
        <v>0.0</v>
      </c>
      <c r="E1971" s="7" t="n">
        <f>HYPERLINK("https://www.somogyi.sk/data/img/product_main_images/small/14718.jpg","https://www.somogyi.sk/data/img/product_main_images/small/14718.jpg")</f>
        <v>0.0</v>
      </c>
      <c r="F1971" s="2" t="inlineStr">
        <is>
          <t>5999084927608</t>
        </is>
      </c>
      <c r="G1971" s="4" t="inlineStr">
        <is>
          <t xml:space="preserve"> • umiestnenie: vnútorné použitie 
 • zdroj svetla: mikro LED 
 • počet zdrojov svetla: 20 ks 
 • farba zdrojov svetla: teplá biela 
 • funkcie: - 
 • farba kábla: transparentný 
 • dĺžka: 1,9 m 
 • napájanie: 2 x AA batéria (nie je príslušenstvom) 
 • ďalšie informácie: držiak batérií, s vypínačom</t>
        </is>
      </c>
    </row>
    <row r="1972">
      <c r="A1972" s="3" t="inlineStr">
        <is>
          <t>ML 120/WW</t>
        </is>
      </c>
      <c r="B1972" s="2" t="inlineStr">
        <is>
          <t>Zväzok micro LED svietiacich reťazcov</t>
        </is>
      </c>
      <c r="C1972" s="1" t="n">
        <v>8.99</v>
      </c>
      <c r="D1972" s="7" t="n">
        <f>HYPERLINK("https://www.somogyi.sk/product/zvazok-micro-led-svietiacich-retazcov-ml-120-ww-13453","https://www.somogyi.sk/product/zvazok-micro-led-svietiacich-retazcov-ml-120-ww-13453")</f>
        <v>0.0</v>
      </c>
      <c r="E1972" s="7" t="n">
        <f>HYPERLINK("https://www.somogyi.sk/data/img/product_main_images/small/13453.jpg","https://www.somogyi.sk/data/img/product_main_images/small/13453.jpg")</f>
        <v>0.0</v>
      </c>
      <c r="F1972" s="2" t="inlineStr">
        <is>
          <t>5999084915391</t>
        </is>
      </c>
      <c r="G1972" s="4" t="inlineStr">
        <is>
          <t xml:space="preserve"> • umiestnenie: vonkajšie / vnútorné použitie 
 • zdroj svetla: mikro LED 
 • počet zdrojov svetla: 120 ks 
 • farba zdrojov svetla: teplá biela 
 • funkcie: - 
 • farba kábla: medená farba 
 • dĺžka: 1,9 m 
 • napájanie: 230 V~ (adaptérové)</t>
        </is>
      </c>
    </row>
    <row r="1973">
      <c r="A1973" s="3" t="inlineStr">
        <is>
          <t>LEDS144C-APP</t>
        </is>
      </c>
      <c r="B1973" s="2" t="inlineStr">
        <is>
          <t>iSparkle LED svietiaci reťazec, zväzok, SMART, RGB, 144 LED, IP44</t>
        </is>
      </c>
      <c r="C1973" s="1" t="n">
        <v>23.49</v>
      </c>
      <c r="D1973" s="7" t="n">
        <f>HYPERLINK("https://www.somogyi.sk/product/isparkle-led-svietiaci-retazec-zvazok-smart-rgb-144-led-ip44-leds144c-app-17718","https://www.somogyi.sk/product/isparkle-led-svietiaci-retazec-zvazok-smart-rgb-144-led-ip44-leds144c-app-17718")</f>
        <v>0.0</v>
      </c>
      <c r="E1973" s="7" t="n">
        <f>HYPERLINK("https://www.somogyi.sk/data/img/product_main_images/small/17718.jpg","https://www.somogyi.sk/data/img/product_main_images/small/17718.jpg")</f>
        <v>0.0</v>
      </c>
      <c r="F1973" s="2" t="inlineStr">
        <is>
          <t>5999084957407</t>
        </is>
      </c>
      <c r="G1973" s="4" t="inlineStr">
        <is>
          <t xml:space="preserve"> • na vnútorné a vonkajšie použitie 
 • 144 ks RGB LED 
 • ovládanie pomocou aplikácie iSparkle 
 • 8 x 1,8 m dĺžka reťazca 
 • 18 LED na jednom reťazci 
 • nastaviteľné farby a režimy 
 • viacero produktov je možné zoskupiť a ovládať súčasne 
 • 5 m napájací kábel 
 • napájanie: sieťový adaptér IP44 na vonkajšie použitie 
 • farba kábla: zelená</t>
        </is>
      </c>
    </row>
    <row r="1974">
      <c r="A1974" s="3" t="inlineStr">
        <is>
          <t>ML 20/M</t>
        </is>
      </c>
      <c r="B1974" s="2" t="inlineStr">
        <is>
          <t>Micro LED svietiaci reťazec, 20 farebných micro LED</t>
        </is>
      </c>
      <c r="C1974" s="1" t="n">
        <v>2.29</v>
      </c>
      <c r="D1974" s="7" t="n">
        <f>HYPERLINK("https://www.somogyi.sk/product/micro-led-svietiaci-retazec-20-farebnych-micro-led-ml-20-m-17745","https://www.somogyi.sk/product/micro-led-svietiaci-retazec-20-farebnych-micro-led-ml-20-m-17745")</f>
        <v>0.0</v>
      </c>
      <c r="E1974" s="7" t="n">
        <f>HYPERLINK("https://www.somogyi.sk/data/img/product_main_images/small/17745.jpg","https://www.somogyi.sk/data/img/product_main_images/small/17745.jpg")</f>
        <v>0.0</v>
      </c>
      <c r="F1974" s="2" t="inlineStr">
        <is>
          <t>5999084957674</t>
        </is>
      </c>
      <c r="G1974" s="4" t="inlineStr">
        <is>
          <t xml:space="preserve"> • umiestnenie: na vnútorné použitie 
 • zdroj svetla: micro LED 
 • počet zdrojov svetla: 20 ks 
 • farba zdrojov svetla: farebná 
 • farba kábla: transparentný 
 • dĺžka: svietiaci reťazec: 1,9 m • napájací kábel: 20 m 
 • napájanie: 2 x AA (1,5 V) batéria (nie je príslušenstvom) 
 • ďalšie informácie: za/vypínač</t>
        </is>
      </c>
    </row>
    <row r="1975">
      <c r="A1975" s="3" t="inlineStr">
        <is>
          <t>KII 50B/WW</t>
        </is>
      </c>
      <c r="B1975" s="2" t="inlineStr">
        <is>
          <t>LED svietiaci reťazec guľa</t>
        </is>
      </c>
      <c r="C1975" s="1" t="n">
        <v>10.69</v>
      </c>
      <c r="D1975" s="7" t="n">
        <f>HYPERLINK("https://www.somogyi.sk/product/led-svietiaci-retazec-gula-kii-50b-ww-16141","https://www.somogyi.sk/product/led-svietiaci-retazec-gula-kii-50b-ww-16141")</f>
        <v>0.0</v>
      </c>
      <c r="E1975" s="7" t="n">
        <f>HYPERLINK("https://www.somogyi.sk/data/img/product_main_images/small/16141.jpg","https://www.somogyi.sk/data/img/product_main_images/small/16141.jpg")</f>
        <v>0.0</v>
      </c>
      <c r="F1975" s="2" t="inlineStr">
        <is>
          <t>5999084941734</t>
        </is>
      </c>
      <c r="G1975" s="4" t="inlineStr">
        <is>
          <t xml:space="preserve"> • umiestnenie: na vnútorné použitie 
 • zdroj svetla: LED 
 • počet zdrojov svetla: 50 ks 
 • farba zdrojov svetla: teplá biela 
 • farba kábla: zelená 
 • dĺžka: 4 m 
 • napájanie: 230 V~ (adaptér)</t>
        </is>
      </c>
    </row>
    <row r="1976">
      <c r="A1976" s="3" t="inlineStr">
        <is>
          <t>LEDS108IV-1</t>
        </is>
      </c>
      <c r="B1976" s="2" t="inlineStr">
        <is>
          <t>iSparkle LED svietiaci reťazec, cencúle, SMART, RGB, 108 LED, IP44</t>
        </is>
      </c>
      <c r="C1976" s="1" t="n">
        <v>20.29</v>
      </c>
      <c r="D1976" s="7" t="n">
        <f>HYPERLINK("https://www.somogyi.sk/product/isparkle-led-svietiaci-retazec-cencule-smart-rgb-108-led-ip44-leds108iv-1-17715","https://www.somogyi.sk/product/isparkle-led-svietiaci-retazec-cencule-smart-rgb-108-led-ip44-leds108iv-1-17715")</f>
        <v>0.0</v>
      </c>
      <c r="E1976" s="7" t="n">
        <f>HYPERLINK("https://www.somogyi.sk/data/img/product_main_images/small/17715.jpg","https://www.somogyi.sk/data/img/product_main_images/small/17715.jpg")</f>
        <v>0.0</v>
      </c>
      <c r="F1976" s="2" t="inlineStr">
        <is>
          <t>5999084957377</t>
        </is>
      </c>
      <c r="G1976" s="4" t="inlineStr">
        <is>
          <t xml:space="preserve"> • na vnútorné a vonkajšie použitie 
 • 108 ks RGB LED 
 • ovládanie pomocou aplikácie iSparkle 
 • 6/3/6/3 ... reťazce, 24 reťazcov 
 • nastaviteľné farby a režimy 
 • viacero produktov je možné zoskupiť a ovládať súčasne 
 • napájanie: sieťový adaptér IP44 na vonkajšie použitie 
 • farba kábla: priesvitná</t>
        </is>
      </c>
    </row>
    <row r="1977">
      <c r="A1977" s="3" t="inlineStr">
        <is>
          <t>LED 100/A</t>
        </is>
      </c>
      <c r="B1977" s="2" t="inlineStr">
        <is>
          <t>LED svietiaci reťazec</t>
        </is>
      </c>
      <c r="C1977" s="1" t="n">
        <v>21.09</v>
      </c>
      <c r="D1977" s="7" t="n">
        <f>HYPERLINK("https://www.somogyi.sk/product/led-svietiaci-retazec-led-100-a-17730","https://www.somogyi.sk/product/led-svietiaci-retazec-led-100-a-17730")</f>
        <v>0.0</v>
      </c>
      <c r="E1977" s="7" t="n">
        <f>HYPERLINK("https://www.somogyi.sk/data/img/product_main_images/small/17730.jpg","https://www.somogyi.sk/data/img/product_main_images/small/17730.jpg")</f>
        <v>0.0</v>
      </c>
      <c r="F1977" s="2" t="inlineStr">
        <is>
          <t>5999084957520</t>
        </is>
      </c>
      <c r="G1977" s="4" t="inlineStr">
        <is>
          <t xml:space="preserve"> • umiestnenie: na vonkajšie / vnútorné použitie 
 • zdroj svetla: LED 
 • počet zdrojov svetla: 100 ks 
 • farba zdrojov svetla: jantárová 
 • farba kábla: zelená 
 • dĺžka: reťazec: 9,9 m • napájací kábel: 5 m 
 • napájanie: IP44 sieťový adaptér na vonkajšie použitie</t>
        </is>
      </c>
    </row>
    <row r="1978">
      <c r="A1978" s="3" t="inlineStr">
        <is>
          <t>KII 100/BL</t>
        </is>
      </c>
      <c r="B1978" s="2" t="inlineStr">
        <is>
          <t>LED svietiaci reťazec, modrá, 100 LED</t>
        </is>
      </c>
      <c r="C1978" s="1" t="n">
        <v>12.09</v>
      </c>
      <c r="D1978" s="7" t="n">
        <f>HYPERLINK("https://www.somogyi.sk/product/led-svietiaci-retazec-modra-100-led-kii-100-bl-16135","https://www.somogyi.sk/product/led-svietiaci-retazec-modra-100-led-kii-100-bl-16135")</f>
        <v>0.0</v>
      </c>
      <c r="E1978" s="7" t="n">
        <f>HYPERLINK("https://www.somogyi.sk/data/img/product_main_images/small/16135.jpg","https://www.somogyi.sk/data/img/product_main_images/small/16135.jpg")</f>
        <v>0.0</v>
      </c>
      <c r="F1978" s="2" t="inlineStr">
        <is>
          <t>5999084941673</t>
        </is>
      </c>
      <c r="G1978" s="4" t="inlineStr">
        <is>
          <t xml:space="preserve"> • umiestnenie: na vnútorné použitie 
 • zdroj svetla: LED 
 • počet zdrojov svetla: 100 ks 
 • farba zdrojov svetla: modrá 
 • farba kábla: zelená 
 • dĺžka: 8 m 
 • napájanie: 230 V~ (adaptér)</t>
        </is>
      </c>
    </row>
    <row r="1979">
      <c r="A1979" s="3" t="inlineStr">
        <is>
          <t>ML 100 RGB SMART</t>
        </is>
      </c>
      <c r="B1979" s="2" t="inlineStr">
        <is>
          <t>Micro LED SMART svietiaci reťazec</t>
        </is>
      </c>
      <c r="C1979" s="1" t="n">
        <v>28.79</v>
      </c>
      <c r="D1979" s="7" t="n">
        <f>HYPERLINK("https://www.somogyi.sk/product/micro-led-smart-svietiaci-retazec-ml-100-rgb-smart-17348","https://www.somogyi.sk/product/micro-led-smart-svietiaci-retazec-ml-100-rgb-smart-17348")</f>
        <v>0.0</v>
      </c>
      <c r="E1979" s="7" t="n">
        <f>HYPERLINK("https://www.somogyi.sk/data/img/product_main_images/small/17348.jpg","https://www.somogyi.sk/data/img/product_main_images/small/17348.jpg")</f>
        <v>0.0</v>
      </c>
      <c r="F1979" s="2" t="inlineStr">
        <is>
          <t>5999084953706</t>
        </is>
      </c>
      <c r="G1979" s="4" t="inlineStr">
        <is>
          <t xml:space="preserve"> • umiestnenie: na vnútorné použitie 
 • zdroj svetla: RGB LED 
 • počet zdrojov svetla: 100 ks 
 • farba zdrojov svetla: multicolor 
 • funkcie: ovládané aplikáciou: 29 dynamických režimov, synchronizované s hudbou, časovač, ovládanie jasu/rýchlosti (1-100%) 
 • napájanie: USB (adaptér nie je príslušenstvom) 
 • ďalšie informácie: farby je možné prispôsobiť podľa individuálnych potrieb</t>
        </is>
      </c>
    </row>
    <row r="1980">
      <c r="A1980" s="3" t="inlineStr">
        <is>
          <t>ML 200 RGB SMART</t>
        </is>
      </c>
      <c r="B1980" s="2" t="inlineStr">
        <is>
          <t>Micro LED-es SMART svietiaci reťazec</t>
        </is>
      </c>
      <c r="C1980" s="1" t="n">
        <v>31.59</v>
      </c>
      <c r="D1980" s="7" t="n">
        <f>HYPERLINK("https://www.somogyi.sk/product/micro-led-es-smart-svietiaci-retazec-ml-200-rgb-smart-17349","https://www.somogyi.sk/product/micro-led-es-smart-svietiaci-retazec-ml-200-rgb-smart-17349")</f>
        <v>0.0</v>
      </c>
      <c r="E1980" s="7" t="n">
        <f>HYPERLINK("https://www.somogyi.sk/data/img/product_main_images/small/17349.jpg","https://www.somogyi.sk/data/img/product_main_images/small/17349.jpg")</f>
        <v>0.0</v>
      </c>
      <c r="F1980" s="2" t="inlineStr">
        <is>
          <t>5999084953713</t>
        </is>
      </c>
      <c r="G1980" s="4" t="inlineStr">
        <is>
          <t xml:space="preserve"> • umiestnenie: na vnútorné použitie 
 • zdroj svetla: RGB LED 
 • počet zdrojov svetla: 200 ks 
 • farba zdrojov svetla: multicolor 
 • funkcie: ovládané aplikáciou: 29 dynamických režimov, synchronizované s hudbou, časovač, ovládanie jasu/rýchlosti (1-100%) 
 •  
 • ďalšie informácie: farby je možné prispôsobiť podľa individuálnych potrieb</t>
        </is>
      </c>
    </row>
    <row r="1981">
      <c r="A1981" s="3" t="inlineStr">
        <is>
          <t>LED158DWW</t>
        </is>
      </c>
      <c r="B1981" s="2" t="inlineStr">
        <is>
          <t>DOT LED svietiaci reťazec, 15 m, teplá biela</t>
        </is>
      </c>
      <c r="C1981" s="1" t="n">
        <v>15.59</v>
      </c>
      <c r="D1981" s="7" t="n">
        <f>HYPERLINK("https://www.somogyi.sk/product/dot-led-svietiaci-retazec-15-m-tepla-biela-led158dww-18602","https://www.somogyi.sk/product/dot-led-svietiaci-retazec-15-m-tepla-biela-led158dww-18602")</f>
        <v>0.0</v>
      </c>
      <c r="E1981" s="7" t="n">
        <f>HYPERLINK("https://www.somogyi.sk/data/img/product_main_images/small/18602.jpg","https://www.somogyi.sk/data/img/product_main_images/small/18602.jpg")</f>
        <v>0.0</v>
      </c>
      <c r="F1981" s="2" t="inlineStr">
        <is>
          <t>5999084966201</t>
        </is>
      </c>
      <c r="G1981" s="4" t="inlineStr">
        <is>
          <t xml:space="preserve"> • umiestnenie: na vonkajšie / vnútorné použitie 
 • zdroj svetla: LED 
 • počet zdrojov svetla: 150 ks 
 • farba zdrojov svetla: teplá biela 
 • funkcie: 8 režimov svietenia, s pamäťou 
 • časovač: voliteľné opakované časovanie (6 h ON / 18 h OFF) 
 • farba kábla: zelená 
 • dĺžka: 15 m dĺžka reťazca (10 cm medzi LED) 
 • dĺžka napájacieho kábla: 3 m 
 • ochrana proti vode: IP44 
 • napájanie: sieťový adaptér IP44 na vonkajšie použitie 
 • príslušenstvo: mini káblový bubon</t>
        </is>
      </c>
    </row>
    <row r="1982">
      <c r="A1982" s="3" t="inlineStr">
        <is>
          <t>LC 768/WW</t>
        </is>
      </c>
      <c r="B1982" s="2" t="inlineStr">
        <is>
          <t>LED cluster svietiaci reťazec</t>
        </is>
      </c>
      <c r="C1982" s="1" t="n">
        <v>57.79</v>
      </c>
      <c r="D1982" s="7" t="n">
        <f>HYPERLINK("https://www.somogyi.sk/product/led-cluster-svietiaci-retazec-lc-768-ww-17330","https://www.somogyi.sk/product/led-cluster-svietiaci-retazec-lc-768-ww-17330")</f>
        <v>0.0</v>
      </c>
      <c r="E1982" s="7" t="n">
        <f>HYPERLINK("https://www.somogyi.sk/data/img/product_main_images/small/17330.jpg","https://www.somogyi.sk/data/img/product_main_images/small/17330.jpg")</f>
        <v>0.0</v>
      </c>
      <c r="F1982" s="2" t="inlineStr">
        <is>
          <t>5999084953522</t>
        </is>
      </c>
      <c r="G1982" s="4" t="inlineStr">
        <is>
          <t xml:space="preserve"> • umiestnenie: na vonkajšie / vnútorné použitie 
 • zdroj svetla: LED 
 • počet zdrojov svetla: 768 ks 
 • farba zdrojov svetla: teplá biela 
 • funkcie: 8 funkcií, pamäť, nastaviteľná svietivosť, nepretržitý režim alebo 6h ON/18h OFF / 8h ON/16h OFF / 6h ON/6h OFF opakované časovanie 
 • dĺžka: 7,5 m 
 • napájanie: IP44 sieťový adaptér na vonkajšie použitie (je príslušenstvom) 
 • ďalšie informácie: diaľkový ovládač (CR2025 batéria, je príslušenstvom)</t>
        </is>
      </c>
    </row>
    <row r="1983">
      <c r="A1983" s="3" t="inlineStr">
        <is>
          <t>ML 80/WH</t>
        </is>
      </c>
      <c r="B1983" s="2" t="inlineStr">
        <is>
          <t>LED svietiaci reťazec</t>
        </is>
      </c>
      <c r="C1983" s="1" t="n">
        <v>9.29</v>
      </c>
      <c r="D1983" s="7" t="n">
        <f>HYPERLINK("https://www.somogyi.sk/product/led-svietiaci-retazec-ml-80-wh-14720","https://www.somogyi.sk/product/led-svietiaci-retazec-ml-80-wh-14720")</f>
        <v>0.0</v>
      </c>
      <c r="E1983" s="7" t="n">
        <f>HYPERLINK("https://www.somogyi.sk/data/img/product_main_images/small/14720.jpg","https://www.somogyi.sk/data/img/product_main_images/small/14720.jpg")</f>
        <v>0.0</v>
      </c>
      <c r="F1983" s="2" t="inlineStr">
        <is>
          <t>5999084927622</t>
        </is>
      </c>
      <c r="G1983" s="4" t="inlineStr">
        <is>
          <t xml:space="preserve"> • umiestnenie: vonkajšie / vnútorné použitie 
 • zdroj svetla: mikro LED 
 • počet zdrojov svetla: 80 ks 
 • farba zdrojov svetla: studená biela 
 • funkcie: - 
 • farba kábla: medená farba 
 • dĺžka: 7,9 m 
 • napájanie: 230 V~ (adaptérové)</t>
        </is>
      </c>
    </row>
    <row r="1984">
      <c r="A1984" s="3" t="inlineStr">
        <is>
          <t>KKL 500F/WW</t>
        </is>
      </c>
      <c r="B1984" s="2" t="inlineStr">
        <is>
          <t>LED žiariaci svetelný reťazec</t>
        </is>
      </c>
      <c r="C1984" s="1" t="n">
        <v>53.69</v>
      </c>
      <c r="D1984" s="7" t="n">
        <f>HYPERLINK("https://www.somogyi.sk/product/led-ziariaci-svetelny-retazec-kkl-500f-ww-16011","https://www.somogyi.sk/product/led-ziariaci-svetelny-retazec-kkl-500f-ww-16011")</f>
        <v>0.0</v>
      </c>
      <c r="E1984" s="7" t="n">
        <f>HYPERLINK("https://www.somogyi.sk/data/img/product_main_images/small/16011.jpg","https://www.somogyi.sk/data/img/product_main_images/small/16011.jpg")</f>
        <v>0.0</v>
      </c>
      <c r="F1984" s="2" t="inlineStr">
        <is>
          <t>5999084940430</t>
        </is>
      </c>
      <c r="G1984" s="4" t="inlineStr">
        <is>
          <t xml:space="preserve"> • umiestnenie: na vonkajšie / vnútorné použitie 
 • zdroj svetla: LED 
 • počet zdrojov svetla: 500 ks 
 • farba zdrojov svetla: teplá biela 
 • farba kábla: biela 
 • rozmery: 50 m 
 • napájanie: 230 V~ (adaptér) 
 • ďalšie informácie: každá desiata LED bliká teplou bielou farbou</t>
        </is>
      </c>
    </row>
    <row r="1985">
      <c r="A1985" s="3" t="inlineStr">
        <is>
          <t>LED 102R/WW/M</t>
        </is>
      </c>
      <c r="B1985" s="2" t="inlineStr">
        <is>
          <t>LED DUAL COLOR svietiaci reťazec</t>
        </is>
      </c>
      <c r="C1985" s="1" t="n">
        <v>22.59</v>
      </c>
      <c r="D1985" s="7" t="n">
        <f>HYPERLINK("https://www.somogyi.sk/product/led-dual-color-svietiaci-retazec-led-102r-ww-m-16002","https://www.somogyi.sk/product/led-dual-color-svietiaci-retazec-led-102r-ww-m-16002")</f>
        <v>0.0</v>
      </c>
      <c r="E1985" s="7" t="n">
        <f>HYPERLINK("https://www.somogyi.sk/data/img/product_main_images/small/16002.jpg","https://www.somogyi.sk/data/img/product_main_images/small/16002.jpg")</f>
        <v>0.0</v>
      </c>
      <c r="F1985" s="2" t="inlineStr">
        <is>
          <t>5999084940348</t>
        </is>
      </c>
      <c r="G1985" s="4" t="inlineStr">
        <is>
          <t xml:space="preserve"> • umiestnenie: na vonkajšie / vnútorné použitie 
 • zdroj svetla: LED 
 • počet zdrojov svetla: 100 ks 
 • farba zdrojov svetla: teplá biela / farebná 
 • funkcie: teplé biele / farebné stále svetlo 
 • farba kábla: čierna 
 • dĺžka: 7 m 
 • napájanie: 230 V~ (s adaptérom) 
 • ďalšie informácie: časovač, 6 h svieti, 18 h pauza, s diaľ. ovládačom</t>
        </is>
      </c>
    </row>
    <row r="1986">
      <c r="A1986" s="3" t="inlineStr">
        <is>
          <t>ML 80/WW</t>
        </is>
      </c>
      <c r="B1986" s="2" t="inlineStr">
        <is>
          <t>LED svietiaci reťazec</t>
        </is>
      </c>
      <c r="C1986" s="1" t="n">
        <v>9.29</v>
      </c>
      <c r="D1986" s="7" t="n">
        <f>HYPERLINK("https://www.somogyi.sk/product/led-svietiaci-retazec-ml-80-ww-13452","https://www.somogyi.sk/product/led-svietiaci-retazec-ml-80-ww-13452")</f>
        <v>0.0</v>
      </c>
      <c r="E1986" s="7" t="n">
        <f>HYPERLINK("https://www.somogyi.sk/data/img/product_main_images/small/13452.jpg","https://www.somogyi.sk/data/img/product_main_images/small/13452.jpg")</f>
        <v>0.0</v>
      </c>
      <c r="F1986" s="2" t="inlineStr">
        <is>
          <t>5999084915384</t>
        </is>
      </c>
      <c r="G1986" s="4" t="inlineStr">
        <is>
          <t xml:space="preserve"> • umiestnenie: vonkajšie / vnútorné použitie 
 • zdroj svetla: mikro LED 
 • počet zdrojov svetla: 80 ks 
 • farba zdrojov svetla: teplá biela 
 • funkcie: - 
 • farba kábla: medená farba 
 • dĺžka: 7,9 m 
 • napájanie: 230 V~ (adaptérové)</t>
        </is>
      </c>
    </row>
    <row r="1987">
      <c r="A1987" s="3" t="inlineStr">
        <is>
          <t>ML 160/WH</t>
        </is>
      </c>
      <c r="B1987" s="2" t="inlineStr">
        <is>
          <t>Micro LED svietiaci reťazec, 160 LED, studená biela</t>
        </is>
      </c>
      <c r="C1987" s="1" t="n">
        <v>15.09</v>
      </c>
      <c r="D1987" s="7" t="n">
        <f>HYPERLINK("https://www.somogyi.sk/product/micro-led-svietiaci-retazec-160-led-studena-biela-ml-160-wh-17731","https://www.somogyi.sk/product/micro-led-svietiaci-retazec-160-led-studena-biela-ml-160-wh-17731")</f>
        <v>0.0</v>
      </c>
      <c r="E1987" s="7" t="n">
        <f>HYPERLINK("https://www.somogyi.sk/data/img/product_main_images/small/17731.jpg","https://www.somogyi.sk/data/img/product_main_images/small/17731.jpg")</f>
        <v>0.0</v>
      </c>
      <c r="F1987" s="2" t="inlineStr">
        <is>
          <t>5999084957537</t>
        </is>
      </c>
      <c r="G1987" s="4" t="inlineStr">
        <is>
          <t xml:space="preserve"> • umiestnenie: na vonkajšie / vnútorné použitie 
 • zdroj svetla: micro LED 
 • počet zdrojov svetla: 160 ks 
 • farba zdrojov svetla: studená biela 
 • dĺžka: svietiaci reťazec: 15,9 m, napájací kábel: 3 m 
 • napájanie: IP44 sieťový adaptér na vonkajšie použitie</t>
        </is>
      </c>
    </row>
    <row r="1988">
      <c r="A1988" s="3" t="inlineStr">
        <is>
          <t>KKL 500F/WH</t>
        </is>
      </c>
      <c r="B1988" s="2" t="inlineStr">
        <is>
          <t>LED žiariaci svetelný reťazec</t>
        </is>
      </c>
      <c r="C1988" s="1" t="n">
        <v>63.59</v>
      </c>
      <c r="D1988" s="7" t="n">
        <f>HYPERLINK("https://www.somogyi.sk/product/led-ziariaci-svetelny-retazec-kkl-500f-wh-16009","https://www.somogyi.sk/product/led-ziariaci-svetelny-retazec-kkl-500f-wh-16009")</f>
        <v>0.0</v>
      </c>
      <c r="E1988" s="7" t="n">
        <f>HYPERLINK("https://www.somogyi.sk/data/img/product_main_images/small/16009.jpg","https://www.somogyi.sk/data/img/product_main_images/small/16009.jpg")</f>
        <v>0.0</v>
      </c>
      <c r="F1988" s="2" t="inlineStr">
        <is>
          <t>5999084940416</t>
        </is>
      </c>
      <c r="G1988" s="4" t="inlineStr">
        <is>
          <t xml:space="preserve"> • umiestnenie: na vonkajšie / vnútorné použitie 
 • zdroj svetla: LED 
 • počet zdrojov svetla: 500 ks 
 • farba zdrojov svetla: teplá biela 
 • farba kábla: biela 
 • rozmery: 50 m 
 • napájanie: 230 V~ (adaptér) 
 • ďalšie informácie: každá desiata LED bliká studenou bielou farbou</t>
        </is>
      </c>
    </row>
    <row r="1989">
      <c r="A1989" s="3" t="inlineStr">
        <is>
          <t>LEDS096V</t>
        </is>
      </c>
      <c r="B1989" s="2" t="inlineStr">
        <is>
          <t>iSparkle LED svietiaci reťazec, SMART, RGB, 96 LED, IP44</t>
        </is>
      </c>
      <c r="C1989" s="1" t="n">
        <v>17.89</v>
      </c>
      <c r="D1989" s="7" t="n">
        <f>HYPERLINK("https://www.somogyi.sk/product/isparkle-led-svietiaci-retazec-smart-rgb-96-led-ip44-leds096v-17711","https://www.somogyi.sk/product/isparkle-led-svietiaci-retazec-smart-rgb-96-led-ip44-leds096v-17711")</f>
        <v>0.0</v>
      </c>
      <c r="E1989" s="7" t="n">
        <f>HYPERLINK("https://www.somogyi.sk/data/img/product_main_images/small/17711.jpg","https://www.somogyi.sk/data/img/product_main_images/small/17711.jpg")</f>
        <v>0.0</v>
      </c>
      <c r="F1989" s="2" t="inlineStr">
        <is>
          <t>5999084957339</t>
        </is>
      </c>
      <c r="G1989" s="4" t="inlineStr">
        <is>
          <t xml:space="preserve"> • na vnútorné a vonkajšie použitie 
 • 96 ks RGB LED 
 • ovládanie pomocou aplikácie 
 • iSparkle nastaviteľné farby a režimy 
 • viacero produktov je možné zoskupiť a ovládať súčasne 
 • napájanie: sieťový adaptér IP44 na vonkajšie použitie 
 • farba kábla: zelená</t>
        </is>
      </c>
    </row>
    <row r="1990">
      <c r="A1990" s="3" t="inlineStr">
        <is>
          <t>MLF 240 RGB SMART</t>
        </is>
      </c>
      <c r="B1990" s="2" t="inlineStr">
        <is>
          <t>Micro LED svietiaci záves, smart, 3 x 2,4 m,10 reťazcí / 24 LED, RGB</t>
        </is>
      </c>
      <c r="C1990" s="1" t="n">
        <v>55.09</v>
      </c>
      <c r="D1990" s="7" t="n">
        <f>HYPERLINK("https://www.somogyi.sk/product/micro-led-svietiaci-zaves-smart-3-x-2-4-m-10-retazci-24-led-rgb-mlf-240-rgb-smart-17722","https://www.somogyi.sk/product/micro-led-svietiaci-zaves-smart-3-x-2-4-m-10-retazci-24-led-rgb-mlf-240-rgb-smart-17722")</f>
        <v>0.0</v>
      </c>
      <c r="E1990" s="7" t="n">
        <f>HYPERLINK("https://www.somogyi.sk/data/img/product_main_images/small/17722.jpg","https://www.somogyi.sk/data/img/product_main_images/small/17722.jpg")</f>
        <v>0.0</v>
      </c>
      <c r="F1990" s="2" t="inlineStr">
        <is>
          <t>5999084957445</t>
        </is>
      </c>
      <c r="G1990" s="4" t="inlineStr">
        <is>
          <t xml:space="preserve"> • umiestnenie: na vnútorné použitie 
 • zdroj svetla: RGB micro LED 
 • počet zdrojov svetla: 240 ks 
 • farba zdrojov svetla: 16 farieb 
 • rozmery: 3 m x 2,4 m</t>
        </is>
      </c>
    </row>
    <row r="1991">
      <c r="A1991" s="3" t="inlineStr">
        <is>
          <t>LED205WWWH</t>
        </is>
      </c>
      <c r="B1991" s="2" t="inlineStr">
        <is>
          <t>LED DUAL COLOR svietiaci reťazec, teplá/studená biela</t>
        </is>
      </c>
      <c r="C1991" s="1" t="n">
        <v>29.89</v>
      </c>
      <c r="D1991" s="7" t="n">
        <f>HYPERLINK("https://www.somogyi.sk/product/led-dual-color-svietiaci-retazec-tepla-studena-biela-led205wwwh-18587","https://www.somogyi.sk/product/led-dual-color-svietiaci-retazec-tepla-studena-biela-led205wwwh-18587")</f>
        <v>0.0</v>
      </c>
      <c r="E1991" s="7" t="n">
        <f>HYPERLINK("https://www.somogyi.sk/data/img/product_main_images/small/18587.jpg","https://www.somogyi.sk/data/img/product_main_images/small/18587.jpg")</f>
        <v>0.0</v>
      </c>
      <c r="F1991" s="2" t="inlineStr">
        <is>
          <t>5999084966058</t>
        </is>
      </c>
      <c r="G1991" s="4" t="inlineStr">
        <is>
          <t xml:space="preserve"> • umiestnenie: na vonkajšie / vnútorné použitie 
 • zdroj svetla: LED 
 • počet zdrojov svetla: 200 ks 
 • farba zdrojov svetla: teplá biela/studená biela 
 • funkcie: 5 funkcií: teplé biele stále svetlo / teplé biele blikanie / studené biele stále svetlo / studené biele blikanie / striedavo teplé biele a studené biele blikanie 
 • farba kábla: čierna farba 
 • dĺžka: 14 m dĺžka reťazca (7 cm medzi LED) 
 • dĺžka napájacieho kábla: 3 m 
 • ochrana proti vode: IP44</t>
        </is>
      </c>
    </row>
    <row r="1992">
      <c r="A1992" s="3" t="inlineStr">
        <is>
          <t>LEDS198V</t>
        </is>
      </c>
      <c r="B1992" s="2" t="inlineStr">
        <is>
          <t>iSparkle LED svietiaci reťazec, SMART, RGB, 198 LED, IP44</t>
        </is>
      </c>
      <c r="C1992" s="1" t="n">
        <v>25.79</v>
      </c>
      <c r="D1992" s="7" t="n">
        <f>HYPERLINK("https://www.somogyi.sk/product/isparkle-led-svietiaci-retazec-smart-rgb-198-led-ip44-leds198v-17712","https://www.somogyi.sk/product/isparkle-led-svietiaci-retazec-smart-rgb-198-led-ip44-leds198v-17712")</f>
        <v>0.0</v>
      </c>
      <c r="E1992" s="7" t="n">
        <f>HYPERLINK("https://www.somogyi.sk/data/img/product_main_images/small/17712.jpg","https://www.somogyi.sk/data/img/product_main_images/small/17712.jpg")</f>
        <v>0.0</v>
      </c>
      <c r="F1992" s="2" t="inlineStr">
        <is>
          <t>5999084957346</t>
        </is>
      </c>
      <c r="G1992" s="4" t="inlineStr">
        <is>
          <t xml:space="preserve"> • na vnútorné a vonkajšie použitie 
 • 198 ks RGB LED 
 • ovládanie pomocou aplikáciem iSparkle 
 • nastaviteľné farby a režimy 
 • viacero produktov je možné zoskupiť a ovládať súčasne 
 • napájanie: sieťový adaptér IP44 na vonkajšie použitie 
 • farba kábla: zelená</t>
        </is>
      </c>
    </row>
    <row r="1993">
      <c r="A1993" s="3" t="inlineStr">
        <is>
          <t>ML 112 RGB</t>
        </is>
      </c>
      <c r="B1993" s="2" t="inlineStr">
        <is>
          <t>Micro LED-es svietiaci reťazec</t>
        </is>
      </c>
      <c r="C1993" s="1" t="n">
        <v>24.29</v>
      </c>
      <c r="D1993" s="7" t="n">
        <f>HYPERLINK("https://www.somogyi.sk/product/micro-led-es-svietiaci-retazec-ml-112-rgb-17350","https://www.somogyi.sk/product/micro-led-es-svietiaci-retazec-ml-112-rgb-17350")</f>
        <v>0.0</v>
      </c>
      <c r="E1993" s="7" t="n">
        <f>HYPERLINK("https://www.somogyi.sk/data/img/product_main_images/small/17350.jpg","https://www.somogyi.sk/data/img/product_main_images/small/17350.jpg")</f>
        <v>0.0</v>
      </c>
      <c r="F1993" s="2" t="inlineStr">
        <is>
          <t>5999084953720</t>
        </is>
      </c>
      <c r="G1993" s="4" t="inlineStr">
        <is>
          <t xml:space="preserve"> • umiestnenie: na vnútorné použitie 
 • zdroj svetla: RGB LED 
 • počet zdrojov svetla: 100 ks 
 • farba zdrojov svetla: multicolor 
 •  
 • ďalšie informácie: 12 dynamických svetelných efektov</t>
        </is>
      </c>
    </row>
    <row r="1994">
      <c r="A1994" s="3" t="inlineStr">
        <is>
          <t>ML 200/WH</t>
        </is>
      </c>
      <c r="B1994" s="2" t="inlineStr">
        <is>
          <t>Zväzok micro LED svietiacich reťazcov</t>
        </is>
      </c>
      <c r="C1994" s="1" t="n">
        <v>15.09</v>
      </c>
      <c r="D1994" s="7" t="n">
        <f>HYPERLINK("https://www.somogyi.sk/product/zvazok-micro-led-svietiacich-retazcov-ml-200-wh-14721","https://www.somogyi.sk/product/zvazok-micro-led-svietiacich-retazcov-ml-200-wh-14721")</f>
        <v>0.0</v>
      </c>
      <c r="E1994" s="7" t="n">
        <f>HYPERLINK("https://www.somogyi.sk/data/img/product_main_images/small/14721.jpg","https://www.somogyi.sk/data/img/product_main_images/small/14721.jpg")</f>
        <v>0.0</v>
      </c>
      <c r="F1994" s="2" t="inlineStr">
        <is>
          <t>5999084927639</t>
        </is>
      </c>
      <c r="G1994" s="4" t="inlineStr">
        <is>
          <t xml:space="preserve"> • umiestnenie: vonkajšie / vnútorné použitie 
 • zdroj svetla: mikro LED 
 • počet zdrojov svetla: 200 ks 
 • farba zdrojov svetla: studená biela 
 • funkcie: - 
 • farba kábla: medená farba 
 • dĺžka: 1,9 m 
 • napájanie: 230 V~ (adaptérové)</t>
        </is>
      </c>
    </row>
    <row r="1995">
      <c r="A1995" s="3" t="inlineStr">
        <is>
          <t>ML26WW</t>
        </is>
      </c>
      <c r="B1995" s="2" t="inlineStr">
        <is>
          <t>Micro LED svietiaci reťazec, 6/18 h timer, 20 teplých bielych micro LED</t>
        </is>
      </c>
      <c r="C1995" s="1" t="n">
        <v>2.49</v>
      </c>
      <c r="D1995" s="7" t="n">
        <f>HYPERLINK("https://www.somogyi.sk/product/micro-led-svietiaci-retazec-6-18-h-timer-20-teplych-bielych-micro-led-ml26ww-18593","https://www.somogyi.sk/product/micro-led-svietiaci-retazec-6-18-h-timer-20-teplych-bielych-micro-led-ml26ww-18593")</f>
        <v>0.0</v>
      </c>
      <c r="E1995" s="7" t="n">
        <f>HYPERLINK("https://www.somogyi.sk/data/img/product_main_images/small/18593.jpg","https://www.somogyi.sk/data/img/product_main_images/small/18593.jpg")</f>
        <v>0.0</v>
      </c>
      <c r="F1995" s="2" t="inlineStr">
        <is>
          <t>5999084966119</t>
        </is>
      </c>
      <c r="G1995" s="4" t="inlineStr">
        <is>
          <t xml:space="preserve"> • umiestnenie: na vnútorné použitie 
 • zdroj svetla: micro LED 
 • počet zdrojov svetla: 20 ks 
 • farba zdrojov svetla: teplá biela 
 • časovač: ON / OFF / TIMER (6 h ON / 18 h OFF) opakujúci sa časovač 
 • charakteristiky: žiariace, bodové micro LED 
 • farba kábla: priesvitný 
 • dĺžka: 1,9 m dĺžka reťazca (10 cm medzi LED) 
 • dĺžka napájacieho kábla: 20 cm 
 • napájanie: 2 x 1,5V (AA) batéria, nie je príslušenstvom</t>
        </is>
      </c>
    </row>
    <row r="1996">
      <c r="A1996" s="3" t="inlineStr">
        <is>
          <t>LED308DM</t>
        </is>
      </c>
      <c r="B1996" s="2" t="inlineStr">
        <is>
          <t>DOT LED svietiaci reťazec, 30 m, farebná</t>
        </is>
      </c>
      <c r="C1996" s="1" t="n">
        <v>25.79</v>
      </c>
      <c r="D1996" s="7" t="n">
        <f>HYPERLINK("https://www.somogyi.sk/product/dot-led-svietiaci-retazec-30-m-farebna-led308dm-18614","https://www.somogyi.sk/product/dot-led-svietiaci-retazec-30-m-farebna-led308dm-18614")</f>
        <v>0.0</v>
      </c>
      <c r="E1996" s="7" t="n">
        <f>HYPERLINK("https://www.somogyi.sk/data/img/product_main_images/small/18614.jpg","https://www.somogyi.sk/data/img/product_main_images/small/18614.jpg")</f>
        <v>0.0</v>
      </c>
      <c r="F1996" s="2" t="inlineStr">
        <is>
          <t>5999084966324</t>
        </is>
      </c>
      <c r="G1996" s="4" t="inlineStr">
        <is>
          <t xml:space="preserve"> • umiestnenie: na vonkajšie / vnútorné použitie 
 • zdroj svetla: LED 
 • počet zdrojov svetla: 300 ks 
 • farba zdrojov svetla: farebný 
 • funkcie: 8 režimov svietenia, s pamäťou 
 • časovač: voliteľné opakované časovanie (6 h ON / 18 h OFF) 
 • farba kábla: zelená 
 • dĺžka: 30 m dĺžka reťazca (10 cm medzi LED) 
 • dĺžka napájacieho kábla: 3 m 
 • ochrana proti vode: IP44 
 • napájanie: sieťový adaptér IP44 na vonkajšie použitie 
 • príslušenstvo: mini káblový bubon</t>
        </is>
      </c>
    </row>
    <row r="1997">
      <c r="A1997" s="3" t="inlineStr">
        <is>
          <t>LED305WWWH</t>
        </is>
      </c>
      <c r="B1997" s="2" t="inlineStr">
        <is>
          <t>LED DUAL COLOR svietiaci reťazec, teplá/studená biela</t>
        </is>
      </c>
      <c r="C1997" s="1" t="n">
        <v>38.09</v>
      </c>
      <c r="D1997" s="7" t="n">
        <f>HYPERLINK("https://www.somogyi.sk/product/led-dual-color-svietiaci-retazec-tepla-studena-biela-led305wwwh-18589","https://www.somogyi.sk/product/led-dual-color-svietiaci-retazec-tepla-studena-biela-led305wwwh-18589")</f>
        <v>0.0</v>
      </c>
      <c r="E1997" s="7" t="n">
        <f>HYPERLINK("https://www.somogyi.sk/data/img/product_main_images/small/18589.jpg","https://www.somogyi.sk/data/img/product_main_images/small/18589.jpg")</f>
        <v>0.0</v>
      </c>
      <c r="F1997" s="2" t="inlineStr">
        <is>
          <t>5999084966072</t>
        </is>
      </c>
      <c r="G1997" s="4" t="inlineStr">
        <is>
          <t xml:space="preserve"> • umiestnenie: na vonkajšie / vnútorné použitie 
 • zdroj svetla: LED 
 • počet zdrojov svetla: 300 ks 
 • farba zdrojov svetla: teplá biela/studená biela 
 • funkcie: 5 funkcií: teplé biele stále svetlo / teplé biele blikanie / studené biele stále svetlo / studené biele blikanie / striedavo teplé biele a studené biele blikanie 
 • farba kábla: čierna farba 
 • dĺžka: 21 m dĺžka reťazca (7 cm medzi LED) 
 • dĺžka napájacieho kábla: 3 m 
 • ochrana proti vode: IP44</t>
        </is>
      </c>
    </row>
    <row r="1998">
      <c r="A1998" s="3" t="inlineStr">
        <is>
          <t>LED308DWW</t>
        </is>
      </c>
      <c r="B1998" s="2" t="inlineStr">
        <is>
          <t>DOT LED svietiaci reťazec, 30 m, teplá biela</t>
        </is>
      </c>
      <c r="C1998" s="1" t="n">
        <v>25.79</v>
      </c>
      <c r="D1998" s="7" t="n">
        <f>HYPERLINK("https://www.somogyi.sk/product/dot-led-svietiaci-retazec-30-m-tepla-biela-led308dww-18609","https://www.somogyi.sk/product/dot-led-svietiaci-retazec-30-m-tepla-biela-led308dww-18609")</f>
        <v>0.0</v>
      </c>
      <c r="E1998" s="7" t="n">
        <f>HYPERLINK("https://www.somogyi.sk/data/img/product_main_images/small/18609.jpg","https://www.somogyi.sk/data/img/product_main_images/small/18609.jpg")</f>
        <v>0.0</v>
      </c>
      <c r="F1998" s="2" t="inlineStr">
        <is>
          <t>5999084966270</t>
        </is>
      </c>
      <c r="G1998" s="4" t="inlineStr">
        <is>
          <t xml:space="preserve"> • umiestnenie: na vonkajšie / vnútorné použitie 
 • zdroj svetla: LED 
 • počet zdrojov svetla: 300 ks 
 • farba zdrojov svetla: teplá biela 
 • funkcie: 8 režimov svietenia, s pamäťou 
 • časovač: voliteľné opakované časovanie (6 h ON / 18 h OFF) 
 • farba kábla: zelená 
 • dĺžka: 30 m dĺžka reťazca (10 cm medzi LED) 
 • dĺžka napájacieho kábla: 3 m 
 • ochrana proti vode: IP44 
 • napájanie: sieťový adaptér IP44 na vonkajšie použitie 
 • príslušenstvo: mini káblový bubon</t>
        </is>
      </c>
    </row>
    <row r="1999">
      <c r="A1999" s="3" t="inlineStr">
        <is>
          <t>LED508DWH</t>
        </is>
      </c>
      <c r="B1999" s="2" t="inlineStr">
        <is>
          <t>DOT LED svietiaci reťazec, 50 m, studená biela</t>
        </is>
      </c>
      <c r="C1999" s="1" t="n">
        <v>39.99</v>
      </c>
      <c r="D1999" s="7" t="n">
        <f>HYPERLINK("https://www.somogyi.sk/product/dot-led-svietiaci-retazec-50-m-studena-biela-led508dwh-18613","https://www.somogyi.sk/product/dot-led-svietiaci-retazec-50-m-studena-biela-led508dwh-18613")</f>
        <v>0.0</v>
      </c>
      <c r="E1999" s="7" t="n">
        <f>HYPERLINK("https://www.somogyi.sk/data/img/product_main_images/small/18613.jpg","https://www.somogyi.sk/data/img/product_main_images/small/18613.jpg")</f>
        <v>0.0</v>
      </c>
      <c r="F1999" s="2" t="inlineStr">
        <is>
          <t>5999084966317</t>
        </is>
      </c>
      <c r="G1999" s="4" t="inlineStr">
        <is>
          <t xml:space="preserve"> • umiestnenie: na vonkajšie / vnútorné použitie 
 • zdroj svetla: LED 
 • počet zdrojov svetla: 500 ks 
 • farba zdrojov svetla: studená biela 
 • funkcie: 8 režimov svietenia, s pamäťou 
 • časovač: voliteľné opakované časovanie (6 h ON / 18 h OFF) 
 • farba kábla: zelená 
 • dĺžka: 50 m dĺžka reťazca (10 cm medzi LED) 
 • dĺžka napájacieho kábla: 3 m 
 • ochrana proti vode: IP44 
 • napájanie: sieťový adaptér IP44 na vonkajšie použitie 
 • príslušenstvo: mini káblový bubon</t>
        </is>
      </c>
    </row>
    <row r="2000">
      <c r="A2000" s="3" t="inlineStr">
        <is>
          <t>LED308DWH</t>
        </is>
      </c>
      <c r="B2000" s="2" t="inlineStr">
        <is>
          <t>DOT LED svietiaci reťazec, 30 m, studená biela</t>
        </is>
      </c>
      <c r="C2000" s="1" t="n">
        <v>25.79</v>
      </c>
      <c r="D2000" s="7" t="n">
        <f>HYPERLINK("https://www.somogyi.sk/product/dot-led-svietiaci-retazec-30-m-studena-biela-led308dwh-18611","https://www.somogyi.sk/product/dot-led-svietiaci-retazec-30-m-studena-biela-led308dwh-18611")</f>
        <v>0.0</v>
      </c>
      <c r="E2000" s="7" t="n">
        <f>HYPERLINK("https://www.somogyi.sk/data/img/product_main_images/small/18611.jpg","https://www.somogyi.sk/data/img/product_main_images/small/18611.jpg")</f>
        <v>0.0</v>
      </c>
      <c r="F2000" s="2" t="inlineStr">
        <is>
          <t>5999084966294</t>
        </is>
      </c>
      <c r="G2000" s="4" t="inlineStr">
        <is>
          <t xml:space="preserve"> • umiestnenie: na vonkajšie / vnútorné použitie 
 • zdroj svetla: LED 
 • počet zdrojov svetla: 300 ks 
 • farba zdrojov svetla: studená biela 
 • funkcie: 8 režimov svietenia, s pamäťou 
 • časovač: voliteľné opakované časovanie (6 h ON / 18 h OFF) 
 • farba kábla: zelená 
 • dĺžka: 30 m dĺžka reťazca (10 cm medzi LED) 
 • dĺžka napájacieho kábla: 3 m 
 • ochrana proti vode: IP44 
 • napájanie: sieťový adaptér IP44 na vonkajšie použitie 
 • príslušenstvo: mini káblový bubon</t>
        </is>
      </c>
    </row>
    <row r="2001">
      <c r="A2001" s="3" t="inlineStr">
        <is>
          <t>LED158DWH</t>
        </is>
      </c>
      <c r="B2001" s="2" t="inlineStr">
        <is>
          <t>DOT LED svietiaci reťazec, 15 m, studená biela</t>
        </is>
      </c>
      <c r="C2001" s="1" t="n">
        <v>15.59</v>
      </c>
      <c r="D2001" s="7" t="n">
        <f>HYPERLINK("https://www.somogyi.sk/product/dot-led-svietiaci-retazec-15-m-studena-biela-led158dwh-18607","https://www.somogyi.sk/product/dot-led-svietiaci-retazec-15-m-studena-biela-led158dwh-18607")</f>
        <v>0.0</v>
      </c>
      <c r="E2001" s="7" t="n">
        <f>HYPERLINK("https://www.somogyi.sk/data/img/product_main_images/small/18607.jpg","https://www.somogyi.sk/data/img/product_main_images/small/18607.jpg")</f>
        <v>0.0</v>
      </c>
      <c r="F2001" s="2" t="inlineStr">
        <is>
          <t>5999084966256</t>
        </is>
      </c>
      <c r="G2001" s="4" t="inlineStr">
        <is>
          <t xml:space="preserve"> • umiestnenie: na vonkajšie / vnútorné použitie 
 • zdroj svetla: LED 
 • počet zdrojov svetla: 150 ks 
 • farba zdrojov svetla: studená biela 
 • funkcie: 8 režimov svietenia, s pamäťou 
 • časovač: voliteľné opakované časovanie (6 h ON / 18 h OFF) 
 • farba kábla: zelená 
 • dĺžka: 15 m dĺžka reťazca (10 cm medzi LED) 
 • dĺžka napájacieho kábla: 3 m 
 • ochrana proti vode: IP44 
 • napájanie: sieťový adaptér IP44 na vonkajšie použitie 
 • príslušenstvo: mini káblový bubon</t>
        </is>
      </c>
    </row>
    <row r="2002">
      <c r="A2002" s="3" t="inlineStr">
        <is>
          <t>ML26WH</t>
        </is>
      </c>
      <c r="B2002" s="2" t="inlineStr">
        <is>
          <t>Micro LED svietiaci reťazec, 6/18 h timer, 20 studených bielych micro LED</t>
        </is>
      </c>
      <c r="C2002" s="1" t="n">
        <v>2.49</v>
      </c>
      <c r="D2002" s="7" t="n">
        <f>HYPERLINK("https://www.somogyi.sk/product/micro-led-svietiaci-retazec-6-18-h-timer-20-studenych-bielych-micro-led-ml26wh-18592","https://www.somogyi.sk/product/micro-led-svietiaci-retazec-6-18-h-timer-20-studenych-bielych-micro-led-ml26wh-18592")</f>
        <v>0.0</v>
      </c>
      <c r="E2002" s="7" t="n">
        <f>HYPERLINK("https://www.somogyi.sk/data/img/product_main_images/small/18592.jpg","https://www.somogyi.sk/data/img/product_main_images/small/18592.jpg")</f>
        <v>0.0</v>
      </c>
      <c r="F2002" s="2" t="inlineStr">
        <is>
          <t>5999084966102</t>
        </is>
      </c>
      <c r="G2002" s="4" t="inlineStr">
        <is>
          <t xml:space="preserve"> • umiestnenie: na vnútorné použitie 
 • zdroj svetla: micro LED 
 • počet zdrojov svetla: 20 ks 
 • farba zdrojov svetla: studená biela 
 • časovač: ON / OFF / TIMER (6 h ON / 18 h OFF) opakujúci sa časovač 
 • charakteristiky: žiariace, bodové micro LED 
 • farba kábla: priesvitný 
 • dĺžka: 1,9 m dĺžka reťazca (10 cm medzi LED) 
 • dĺžka napájacieho kábla: 20 cm 
 • napájanie: 2 x 1,5V (AA) batéria, nie je príslušenstvom</t>
        </is>
      </c>
    </row>
    <row r="2003">
      <c r="A2003" s="3" t="inlineStr">
        <is>
          <t>ML 250G/WW</t>
        </is>
      </c>
      <c r="B2003" s="2" t="inlineStr">
        <is>
          <t>Zväzok micro LED svietiacich reťazcov, teplá biela, zelený kábel, IP44, dimmer</t>
        </is>
      </c>
      <c r="C2003" s="1" t="n">
        <v>19.19</v>
      </c>
      <c r="D2003" s="7" t="n">
        <f>HYPERLINK("https://www.somogyi.sk/product/zvazok-micro-led-svietiacich-retazcov-tepla-biela-zeleny-kabel-ip44-dimmer-ml-250g-ww-16533","https://www.somogyi.sk/product/zvazok-micro-led-svietiacich-retazcov-tepla-biela-zeleny-kabel-ip44-dimmer-ml-250g-ww-16533")</f>
        <v>0.0</v>
      </c>
      <c r="E2003" s="7" t="n">
        <f>HYPERLINK("https://www.somogyi.sk/data/img/product_main_images/small/16533.jpg","https://www.somogyi.sk/data/img/product_main_images/small/16533.jpg")</f>
        <v>0.0</v>
      </c>
      <c r="F2003" s="2" t="inlineStr">
        <is>
          <t>5999084945657</t>
        </is>
      </c>
      <c r="G2003" s="4" t="inlineStr">
        <is>
          <t xml:space="preserve"> • umiestnenie: na vonkajšie / vnútorné použitie 
 • zdroj svetla: micro LED 
 • počet zdrojov svetla: 250 ks 
 • farba zdrojov svetla: 25m ks teplých bielych, žiarivých micro LED 
 • funkcie: nastaviteľná svietivosť (100/75/50/25%) 
 • priebežná prevádzka alebo 6h ON/18h OFF časovač 
 • farba kábla: zelený, tenký kábel 
 • rozmery: 2,4 m 
 • napájanie: IP44 vonkajší adaptér 
 • ďalšie informácie: 10 reťazcí / 25 LED na jednom reťazci 
 • prísavka je príslušenstvom</t>
        </is>
      </c>
    </row>
    <row r="2004">
      <c r="A2004" s="3" t="inlineStr">
        <is>
          <t>ML 20/WH</t>
        </is>
      </c>
      <c r="B2004" s="2" t="inlineStr">
        <is>
          <t>Micro LED svietiaci reťazec, 20 studených bielych micro LED</t>
        </is>
      </c>
      <c r="C2004" s="1" t="n">
        <v>2.29</v>
      </c>
      <c r="D2004" s="7" t="n">
        <f>HYPERLINK("https://www.somogyi.sk/product/micro-led-svietiaci-retazec-20-studenych-bielych-micro-led-ml-20-wh-17746","https://www.somogyi.sk/product/micro-led-svietiaci-retazec-20-studenych-bielych-micro-led-ml-20-wh-17746")</f>
        <v>0.0</v>
      </c>
      <c r="E2004" s="7" t="n">
        <f>HYPERLINK("https://www.somogyi.sk/data/img/product_main_images/small/17746.jpg","https://www.somogyi.sk/data/img/product_main_images/small/17746.jpg")</f>
        <v>0.0</v>
      </c>
      <c r="F2004" s="2" t="inlineStr">
        <is>
          <t>5999084957681</t>
        </is>
      </c>
      <c r="G2004" s="4" t="inlineStr">
        <is>
          <t xml:space="preserve"> • umiestnenie: na vnútorné použitie 
 • zdroj svetla: micro LED 
 • počet zdrojov svetla: 20 ks 
 • farba zdrojov svetla: studená biela 
 • farba kábla: transparentný 
 • dĺžka: svietiaci reťazec: 1,9 m • napájací kábel: 20 m 
 • napájanie: 2 x AA (1,5 V) batéria (nie je príslušenstvom) 
 • ďalšie informácie: za/vypínač</t>
        </is>
      </c>
    </row>
    <row r="2005">
      <c r="A2005" s="3" t="inlineStr">
        <is>
          <t>KII 100/WW</t>
        </is>
      </c>
      <c r="B2005" s="2" t="inlineStr">
        <is>
          <t>LED svietiaci reťazec</t>
        </is>
      </c>
      <c r="C2005" s="1" t="n">
        <v>12.09</v>
      </c>
      <c r="D2005" s="7" t="n">
        <f>HYPERLINK("https://www.somogyi.sk/product/led-svietiaci-retazec-kii-100-ww-16132","https://www.somogyi.sk/product/led-svietiaci-retazec-kii-100-ww-16132")</f>
        <v>0.0</v>
      </c>
      <c r="E2005" s="7" t="n">
        <f>HYPERLINK("https://www.somogyi.sk/data/img/product_main_images/small/16132.jpg","https://www.somogyi.sk/data/img/product_main_images/small/16132.jpg")</f>
        <v>0.0</v>
      </c>
      <c r="F2005" s="2" t="inlineStr">
        <is>
          <t>5999084941642</t>
        </is>
      </c>
      <c r="G2005" s="4" t="inlineStr">
        <is>
          <t xml:space="preserve"> • umiestnenie: na vnútorné použitie 
 • zdroj svetla: LED 
 • počet zdrojov svetla: 100 ks 
 • farba zdrojov svetla: teplá biela 
 • farba kábla: zelená 
 • dĺžka: 8 m 
 • napájanie: 230 V~ (adaptér)</t>
        </is>
      </c>
    </row>
    <row r="2006">
      <c r="A2006" s="3" t="inlineStr">
        <is>
          <t>KII 200/WH</t>
        </is>
      </c>
      <c r="B2006" s="2" t="inlineStr">
        <is>
          <t>LED svietiaci reťazec</t>
        </is>
      </c>
      <c r="C2006" s="1" t="n">
        <v>17.39</v>
      </c>
      <c r="D2006" s="7" t="n">
        <f>HYPERLINK("https://www.somogyi.sk/product/led-svietiaci-retazec-kii-200-wh-16138","https://www.somogyi.sk/product/led-svietiaci-retazec-kii-200-wh-16138")</f>
        <v>0.0</v>
      </c>
      <c r="E2006" s="7" t="n">
        <f>HYPERLINK("https://www.somogyi.sk/data/img/product_main_images/small/16138.jpg","https://www.somogyi.sk/data/img/product_main_images/small/16138.jpg")</f>
        <v>0.0</v>
      </c>
      <c r="F2006" s="2" t="inlineStr">
        <is>
          <t>5999084941703</t>
        </is>
      </c>
      <c r="G2006" s="4" t="inlineStr">
        <is>
          <t xml:space="preserve"> • umiestnenie: na vnútorné použitie 
 • zdroj svetla: LED 
 • počet zdrojov svetla: 200 ks 
 • farba zdrojov svetla: farebná 
 • farba kábla: zelená 
 • dĺžka: 16 m 
 • napájanie: 230 V~ (adaptér)</t>
        </is>
      </c>
    </row>
    <row r="2007">
      <c r="A2007" s="3" t="inlineStr">
        <is>
          <t>KII 200/M</t>
        </is>
      </c>
      <c r="B2007" s="2" t="inlineStr">
        <is>
          <t>LED svietiaci reťazec</t>
        </is>
      </c>
      <c r="C2007" s="1" t="n">
        <v>17.39</v>
      </c>
      <c r="D2007" s="7" t="n">
        <f>HYPERLINK("https://www.somogyi.sk/product/led-svietiaci-retazec-kii-200-m-16140","https://www.somogyi.sk/product/led-svietiaci-retazec-kii-200-m-16140")</f>
        <v>0.0</v>
      </c>
      <c r="E2007" s="7" t="n">
        <f>HYPERLINK("https://www.somogyi.sk/data/img/product_main_images/small/16140.jpg","https://www.somogyi.sk/data/img/product_main_images/small/16140.jpg")</f>
        <v>0.0</v>
      </c>
      <c r="F2007" s="2" t="inlineStr">
        <is>
          <t>5999084941727</t>
        </is>
      </c>
      <c r="G2007" s="4" t="inlineStr">
        <is>
          <t xml:space="preserve"> • umiestnenie: na vnútorné použitie 
 • zdroj svetla: LED 
 • počet zdrojov svetla: 200 ks 
 • farba zdrojov svetla: farený 
 • farba kábla: zelený 
 • dĺžka: 16 m 
 • napájanie: 230 V~ (adaptér)</t>
        </is>
      </c>
    </row>
    <row r="2008">
      <c r="A2008" s="3" t="inlineStr">
        <is>
          <t>ML 50/WW</t>
        </is>
      </c>
      <c r="B2008" s="2" t="inlineStr">
        <is>
          <t>LED svietiaci reťazec</t>
        </is>
      </c>
      <c r="C2008" s="1" t="n">
        <v>3.69</v>
      </c>
      <c r="D2008" s="7" t="n">
        <f>HYPERLINK("https://www.somogyi.sk/product/led-svietiaci-retazec-ml-50-ww-14719","https://www.somogyi.sk/product/led-svietiaci-retazec-ml-50-ww-14719")</f>
        <v>0.0</v>
      </c>
      <c r="E2008" s="7" t="n">
        <f>HYPERLINK("https://www.somogyi.sk/data/img/product_main_images/small/14719.jpg","https://www.somogyi.sk/data/img/product_main_images/small/14719.jpg")</f>
        <v>0.0</v>
      </c>
      <c r="F2008" s="2" t="inlineStr">
        <is>
          <t>5999084927615</t>
        </is>
      </c>
      <c r="G2008" s="4" t="inlineStr">
        <is>
          <t xml:space="preserve"> • umiestnenie: vnútorné použitie 
 • zdroj svetla: mikro LED 
 • počet zdrojov svetla: 50 ks 
 • farba zdrojov svetla: teplá biela 
 • funkcie: - 
 • farba kábla: transparentný 
 • dĺžka: 4,9 m 
 • napájanie: 3 x AA batéria (nie je príslušenstvom) 
 • ďalšie informácie: držiak batérií, s vypínačom</t>
        </is>
      </c>
    </row>
    <row r="2009">
      <c r="A2009" s="3" t="inlineStr">
        <is>
          <t>MLF 400/WW</t>
        </is>
      </c>
      <c r="B2009" s="2" t="inlineStr">
        <is>
          <t>Micro LED svietiaci záves, 20 reťazcí / 20 LED, teplá biela, na vonkajšie použitie</t>
        </is>
      </c>
      <c r="C2009" s="1" t="n">
        <v>27.29</v>
      </c>
      <c r="D2009" s="7" t="n">
        <f>HYPERLINK("https://www.somogyi.sk/product/micro-led-svietiaci-zaves-20-retazci-20-led-tepla-biela-na-vonkajsie-pouzitie-mlf-400-ww-16528","https://www.somogyi.sk/product/micro-led-svietiaci-zaves-20-retazci-20-led-tepla-biela-na-vonkajsie-pouzitie-mlf-400-ww-16528")</f>
        <v>0.0</v>
      </c>
      <c r="E2009" s="7" t="n">
        <f>HYPERLINK("https://www.somogyi.sk/data/img/product_main_images/small/16528.jpg","https://www.somogyi.sk/data/img/product_main_images/small/16528.jpg")</f>
        <v>0.0</v>
      </c>
      <c r="F2009" s="2" t="inlineStr">
        <is>
          <t>5999084945602</t>
        </is>
      </c>
      <c r="G2009" s="4" t="inlineStr">
        <is>
          <t xml:space="preserve"> • umiestnenie: na vonkajšie / vnútorné použitie 
 • zdroj svetla: LED 
 • počet zdrojov svetla: 400 ks 
 • farba zdrojov svetla: teplá biela 
 • rozmery: 2 x 2 m 
 • napájanie: IP44 vonkajší adaptér 
 • ďalšie informácie: 20 reťazcí, 20 LED na jednom reťazci 
 • spolu 400 ks teplých bielych, bodových žiarivých micro LED</t>
        </is>
      </c>
    </row>
    <row r="2010">
      <c r="A2010" s="3" t="inlineStr">
        <is>
          <t>MLC 58/WH</t>
        </is>
      </c>
      <c r="B2010" s="2" t="inlineStr">
        <is>
          <t>LED svietiaci reťazec, s časovačom, 4,9m, 4,5V</t>
        </is>
      </c>
      <c r="C2010" s="1" t="n">
        <v>8.59</v>
      </c>
      <c r="D2010" s="7" t="n">
        <f>HYPERLINK("https://www.somogyi.sk/product/led-svietiaci-retazec-s-casovacom-4-9m-4-5v-mlc-58-wh-14845","https://www.somogyi.sk/product/led-svietiaci-retazec-s-casovacom-4-9m-4-5v-mlc-58-wh-14845")</f>
        <v>0.0</v>
      </c>
      <c r="E2010" s="7" t="n">
        <f>HYPERLINK("https://www.somogyi.sk/data/img/product_main_images/small/14845.jpg","https://www.somogyi.sk/data/img/product_main_images/small/14845.jpg")</f>
        <v>0.0</v>
      </c>
      <c r="F2010" s="2" t="inlineStr">
        <is>
          <t>5999084928827</t>
        </is>
      </c>
      <c r="G2010" s="4" t="inlineStr">
        <is>
          <t xml:space="preserve"> • umiestnenie: vnútorné použitie 
 • zdroj svetla: LED 
 • počet zdrojov svetla: 50 ks 
 • farba zdrojov svetla: studená biela 
 • funkcie: 8 programov 
 • farba kábla: zelená 
 • dĺžka: 4,9 m 
 • napájanie: 3 x AA batéria (nie je príslušenstvom) 
 • ďalšie informácie: časovač:  6 hodín svietenia, 18 hodín prestávka</t>
        </is>
      </c>
    </row>
    <row r="2011">
      <c r="A2011" s="3" t="inlineStr">
        <is>
          <t>LED158DM</t>
        </is>
      </c>
      <c r="B2011" s="2" t="inlineStr">
        <is>
          <t>DOT LED svietiaci reťazec, 15 m, farebná</t>
        </is>
      </c>
      <c r="C2011" s="1" t="n">
        <v>15.59</v>
      </c>
      <c r="D2011" s="7" t="n">
        <f>HYPERLINK("https://www.somogyi.sk/product/dot-led-svietiaci-retazec-15-m-farebna-led158dm-18608","https://www.somogyi.sk/product/dot-led-svietiaci-retazec-15-m-farebna-led158dm-18608")</f>
        <v>0.0</v>
      </c>
      <c r="E2011" s="7" t="n">
        <f>HYPERLINK("https://www.somogyi.sk/data/img/product_main_images/small/18608.jpg","https://www.somogyi.sk/data/img/product_main_images/small/18608.jpg")</f>
        <v>0.0</v>
      </c>
      <c r="F2011" s="2" t="inlineStr">
        <is>
          <t>5999084966263</t>
        </is>
      </c>
      <c r="G2011" s="4" t="inlineStr">
        <is>
          <t xml:space="preserve"> • umiestnenie: na vonkajšie / vnútorné použitie 
 • zdroj svetla: LED 
 • počet zdrojov svetla: 150 ks 
 • farba zdrojov svetla: farebný 
 • funkcie: 8 režimov svietenia, s pamäťou 
 • časovač: voliteľné opakované časovanie (6 h ON / 18 h OFF) 
 • farba kábla: zelená 
 • dĺžka: 15 m dĺžka reťazca (10 cm medzi LED) 
 • dĺžka napájacieho kábla: 3 m 
 • ochrana proti vode: IP44 
 • napájanie: sieťový adaptér IP44 na vonkajšie použitie 
 • príslušenstvo: mini káblový bubon</t>
        </is>
      </c>
    </row>
    <row r="2012">
      <c r="A2012" s="3" t="inlineStr">
        <is>
          <t>ML 160/WW</t>
        </is>
      </c>
      <c r="B2012" s="2" t="inlineStr">
        <is>
          <t>Micro LED svietiaci reťazec, 160 LED, teplá biela</t>
        </is>
      </c>
      <c r="C2012" s="1" t="n">
        <v>15.09</v>
      </c>
      <c r="D2012" s="7" t="n">
        <f>HYPERLINK("https://www.somogyi.sk/product/micro-led-svietiaci-retazec-160-led-tepla-biela-ml-160-ww-17732","https://www.somogyi.sk/product/micro-led-svietiaci-retazec-160-led-tepla-biela-ml-160-ww-17732")</f>
        <v>0.0</v>
      </c>
      <c r="E2012" s="7" t="n">
        <f>HYPERLINK("https://www.somogyi.sk/data/img/product_main_images/small/17732.jpg","https://www.somogyi.sk/data/img/product_main_images/small/17732.jpg")</f>
        <v>0.0</v>
      </c>
      <c r="F2012" s="2" t="inlineStr">
        <is>
          <t>5999084957544</t>
        </is>
      </c>
      <c r="G2012" s="4" t="inlineStr">
        <is>
          <t xml:space="preserve"> • umiestnenie: na vonkajšie / vnútorné použitie 
 • zdroj svetla: micro LED 
 • počet zdrojov svetla: 160 ks 
 • farba zdrojov svetla: teplá biela 
 • dĺžka: svietiaci reťazec: 15,9 m • napájací kábel: 3 m 
 • napájanie: IP44 sieťový adaptér na vonkajšie použitie</t>
        </is>
      </c>
    </row>
    <row r="2013">
      <c r="A2013" s="3" t="inlineStr">
        <is>
          <t>MLC 58/WW</t>
        </is>
      </c>
      <c r="B2013" s="2" t="inlineStr">
        <is>
          <t>LED svietiaci reťazec, 50 LED, teplá biela, s časovačom</t>
        </is>
      </c>
      <c r="C2013" s="1" t="n">
        <v>8.59</v>
      </c>
      <c r="D2013" s="7" t="n">
        <f>HYPERLINK("https://www.somogyi.sk/product/led-svietiaci-retazec-50-led-tepla-biela-s-casovacom-mlc-58-ww-15004","https://www.somogyi.sk/product/led-svietiaci-retazec-50-led-tepla-biela-s-casovacom-mlc-58-ww-15004")</f>
        <v>0.0</v>
      </c>
      <c r="E2013" s="7" t="n">
        <f>HYPERLINK("https://www.somogyi.sk/data/img/product_main_images/small/15004.jpg","https://www.somogyi.sk/data/img/product_main_images/small/15004.jpg")</f>
        <v>0.0</v>
      </c>
      <c r="F2013" s="2" t="inlineStr">
        <is>
          <t>5999084930387</t>
        </is>
      </c>
      <c r="G2013" s="4" t="inlineStr">
        <is>
          <t xml:space="preserve"> • umiestnenie: vnútorné použitie 
 • zdroj svetla: LED 
 • počet zdrojov svetla: 50 ks 
 • farba zdrojov svetla: teplá biela 
 • funkcie: 8 programov 
 • farba kábla: zelená 
 • dĺžka: 4,9 m 
 • napájanie: 3 x AA batéria (nie je príslušenstvom) 
 • ďalšie informácie: časovač:  6 hodín svietenia, 18 hodín prestávka</t>
        </is>
      </c>
    </row>
    <row r="2014">
      <c r="A2014" s="3" t="inlineStr">
        <is>
          <t>MLF 200/WH</t>
        </is>
      </c>
      <c r="B2014" s="2" t="inlineStr">
        <is>
          <t>Micro LED svietiaci záves, 3 x 2 m, 10 reťazcí / 20 LED, studená biela, 8 programov</t>
        </is>
      </c>
      <c r="C2014" s="1" t="n">
        <v>19.69</v>
      </c>
      <c r="D2014" s="7" t="n">
        <f>HYPERLINK("https://www.somogyi.sk/product/micro-led-svietiaci-zaves-3-x-2-m-10-retazci-20-led-studena-biela-8-programov-mlf-200-wh-17721","https://www.somogyi.sk/product/micro-led-svietiaci-zaves-3-x-2-m-10-retazci-20-led-studena-biela-8-programov-mlf-200-wh-17721")</f>
        <v>0.0</v>
      </c>
      <c r="E2014" s="7" t="n">
        <f>HYPERLINK("https://www.somogyi.sk/data/img/product_main_images/small/17721.jpg","https://www.somogyi.sk/data/img/product_main_images/small/17721.jpg")</f>
        <v>0.0</v>
      </c>
      <c r="F2014" s="2" t="inlineStr">
        <is>
          <t>5999084957438</t>
        </is>
      </c>
      <c r="G2014" s="4" t="inlineStr">
        <is>
          <t xml:space="preserve"> • umiestnenie: na vnútorné použitie 
 • zdroj svetla: micro LED 
 • počet zdrojov svetla: 200 ks 
 • farba zdrojov svetla: studená biela 
 • rozmery: 3 m x 2 m 
 • napájanie: USB (adaptér nie je príslušenstvom) 
 • ďalšie informácie: 10 reťazcov, 20 LED na jednom reťazci</t>
        </is>
      </c>
    </row>
    <row r="2015">
      <c r="A2015" s="3" t="inlineStr">
        <is>
          <t>KII 200/WW</t>
        </is>
      </c>
      <c r="B2015" s="2" t="inlineStr">
        <is>
          <t>LED svietiaci reťazec</t>
        </is>
      </c>
      <c r="C2015" s="1" t="n">
        <v>17.39</v>
      </c>
      <c r="D2015" s="7" t="n">
        <f>HYPERLINK("https://www.somogyi.sk/product/led-svietiaci-retazec-kii-200-ww-16139","https://www.somogyi.sk/product/led-svietiaci-retazec-kii-200-ww-16139")</f>
        <v>0.0</v>
      </c>
      <c r="E2015" s="7" t="n">
        <f>HYPERLINK("https://www.somogyi.sk/data/img/product_main_images/small/16139.jpg","https://www.somogyi.sk/data/img/product_main_images/small/16139.jpg")</f>
        <v>0.0</v>
      </c>
      <c r="F2015" s="2" t="inlineStr">
        <is>
          <t>5999084941710</t>
        </is>
      </c>
      <c r="G2015" s="4" t="inlineStr">
        <is>
          <t xml:space="preserve"> • umiestnenie: na vnútorné použitie 
 • zdroj svetla: LED 
 • počet zdrojov svetla: 200 ks 
 • farba zdrojov svetla: farebná 
 • farba kábla: zelená 
 • rozmery: 1,6 m 
 • dĺžka: 1,6 m 
 • napájanie: 230 V~ (adaptér)</t>
        </is>
      </c>
    </row>
    <row r="2016">
      <c r="A2016" s="3" t="inlineStr">
        <is>
          <t>KII 100/WH</t>
        </is>
      </c>
      <c r="B2016" s="2" t="inlineStr">
        <is>
          <t>LED svietiaci reťazec</t>
        </is>
      </c>
      <c r="C2016" s="1" t="n">
        <v>12.09</v>
      </c>
      <c r="D2016" s="7" t="n">
        <f>HYPERLINK("https://www.somogyi.sk/product/led-svietiaci-retazec-kii-100-wh-16131","https://www.somogyi.sk/product/led-svietiaci-retazec-kii-100-wh-16131")</f>
        <v>0.0</v>
      </c>
      <c r="E2016" s="7" t="n">
        <f>HYPERLINK("https://www.somogyi.sk/data/img/product_main_images/small/16131.jpg","https://www.somogyi.sk/data/img/product_main_images/small/16131.jpg")</f>
        <v>0.0</v>
      </c>
      <c r="F2016" s="2" t="inlineStr">
        <is>
          <t>5999084941635</t>
        </is>
      </c>
      <c r="G2016" s="4" t="inlineStr">
        <is>
          <t xml:space="preserve"> • umiestnenie: na vnútorné použitie 
 • zdroj svetla: LED 
 • počet zdrojov svetla: 100 ks 
 • farba zdrojov svetla: studená biela 
 • farba kábla: zelená 
 • dĺžka: 8 m 
 • napájanie: 230 V~ (adaptér)</t>
        </is>
      </c>
    </row>
    <row r="2017">
      <c r="A2017" s="3" t="inlineStr">
        <is>
          <t>KKL 200F/WW</t>
        </is>
      </c>
      <c r="B2017" s="2" t="inlineStr">
        <is>
          <t>LED žiariaci svetelný reťazec</t>
        </is>
      </c>
      <c r="C2017" s="1" t="n">
        <v>25.59</v>
      </c>
      <c r="D2017" s="7" t="n">
        <f>HYPERLINK("https://www.somogyi.sk/product/led-ziariaci-svetelny-retazec-kkl-200f-ww-16007","https://www.somogyi.sk/product/led-ziariaci-svetelny-retazec-kkl-200f-ww-16007")</f>
        <v>0.0</v>
      </c>
      <c r="E2017" s="7" t="n">
        <f>HYPERLINK("https://www.somogyi.sk/data/img/product_main_images/small/16007.jpg","https://www.somogyi.sk/data/img/product_main_images/small/16007.jpg")</f>
        <v>0.0</v>
      </c>
      <c r="F2017" s="2" t="inlineStr">
        <is>
          <t>5999084940393</t>
        </is>
      </c>
      <c r="G2017" s="4" t="inlineStr">
        <is>
          <t xml:space="preserve"> • umiestnenie: na vonkajšie / vnútorné použitie 
 • zdroj svetla: LED 
 • počet zdrojov svetla: 200 ks 
 • farba zdrojov svetla: teplá biela 
 • farba kábla: zelená 
 • rozmery: 20 m 
 • napájanie: 230 V~ (s adaptérom) 
 • ďalšie informácie: každá desiata LED bliká teplou bielou farbou</t>
        </is>
      </c>
    </row>
    <row r="2018">
      <c r="A2018" s="3" t="inlineStr">
        <is>
          <t>ML 200/WW</t>
        </is>
      </c>
      <c r="B2018" s="2" t="inlineStr">
        <is>
          <t>Zväzok micro LED svietiacich reťazcov</t>
        </is>
      </c>
      <c r="C2018" s="1" t="n">
        <v>15.09</v>
      </c>
      <c r="D2018" s="7" t="n">
        <f>HYPERLINK("https://www.somogyi.sk/product/zvazok-micro-led-svietiacich-retazcov-ml-200-ww-14003","https://www.somogyi.sk/product/zvazok-micro-led-svietiacich-retazcov-ml-200-ww-14003")</f>
        <v>0.0</v>
      </c>
      <c r="E2018" s="7" t="n">
        <f>HYPERLINK("https://www.somogyi.sk/data/img/product_main_images/small/14003.jpg","https://www.somogyi.sk/data/img/product_main_images/small/14003.jpg")</f>
        <v>0.0</v>
      </c>
      <c r="F2018" s="2" t="inlineStr">
        <is>
          <t>5999084920555</t>
        </is>
      </c>
      <c r="G2018" s="4" t="inlineStr">
        <is>
          <t xml:space="preserve"> • umiestnenie: vonkajšie / vnútorné použitie 
 • zdroj svetla: mikro LED 
 • počet zdrojov svetla: 200 ks 
 • farba zdrojov svetla: teplá biela 
 • funkcie: - 
 • farba kábla: medená farba 
 • dĺžka: 1,9 m 
 • napájanie: 230 V~ (adaptérové)</t>
        </is>
      </c>
    </row>
    <row r="2019">
      <c r="A2019" s="3" t="inlineStr">
        <is>
          <t>KII 100/T</t>
        </is>
      </c>
      <c r="B2019" s="2" t="inlineStr">
        <is>
          <t>LED svietiaci reťazec</t>
        </is>
      </c>
      <c r="C2019" s="1" t="n">
        <v>12.09</v>
      </c>
      <c r="D2019" s="7" t="n">
        <f>HYPERLINK("https://www.somogyi.sk/product/led-svietiaci-retazec-kii-100-t-16137","https://www.somogyi.sk/product/led-svietiaci-retazec-kii-100-t-16137")</f>
        <v>0.0</v>
      </c>
      <c r="E2019" s="7" t="n">
        <f>HYPERLINK("https://www.somogyi.sk/data/img/product_main_images/small/16137.jpg","https://www.somogyi.sk/data/img/product_main_images/small/16137.jpg")</f>
        <v>0.0</v>
      </c>
      <c r="F2019" s="2" t="inlineStr">
        <is>
          <t>5999084941697</t>
        </is>
      </c>
      <c r="G2019" s="4" t="inlineStr">
        <is>
          <t xml:space="preserve"> • umiestnenie: na vnútorné použitie 
 • zdroj svetla: LED 
 • počet zdrojov svetla: 100 ks 
 • farba zdrojov svetla: tyrkysová 
 • farba kábla: zelená 
 • dĺžka: 8 m 
 • napájanie: 230 V~ (adaptér)</t>
        </is>
      </c>
    </row>
    <row r="2020">
      <c r="A2020" s="3" t="inlineStr">
        <is>
          <t>LEDS120DV</t>
        </is>
      </c>
      <c r="B2020" s="2" t="inlineStr">
        <is>
          <t>iSparkle LED svietiaci reťazec, dekorácia guľa, SMART, RGB, 120 LED, IP44</t>
        </is>
      </c>
      <c r="C2020" s="1" t="n">
        <v>21.69</v>
      </c>
      <c r="D2020" s="7" t="n">
        <f>HYPERLINK("https://www.somogyi.sk/product/isparkle-led-svietiaci-retazec-dekoracia-gula-smart-rgb-120-led-ip44-leds120dv-17713","https://www.somogyi.sk/product/isparkle-led-svietiaci-retazec-dekoracia-gula-smart-rgb-120-led-ip44-leds120dv-17713")</f>
        <v>0.0</v>
      </c>
      <c r="E2020" s="7" t="n">
        <f>HYPERLINK("https://www.somogyi.sk/data/img/product_main_images/small/17713.jpg","https://www.somogyi.sk/data/img/product_main_images/small/17713.jpg")</f>
        <v>0.0</v>
      </c>
      <c r="F2020" s="2" t="inlineStr">
        <is>
          <t>5999084957353</t>
        </is>
      </c>
      <c r="G2020" s="4" t="inlineStr">
        <is>
          <t xml:space="preserve"> • na vnútorné a vonkajšie použitie 
 • 120 ks RGB LED 
 • 1,5 cm opálová guľová dekorácia 
 • ovládanie pomocou aplikácie iSparkle 
 • nastaviteľné farby a režimy 
 • viacero produktov je možné zoskupiť a ovládať súčasne 
 • napájanie: sieťový adaptér IP44 na vonkajšie použitie 
 • farba kábla: zelená</t>
        </is>
      </c>
    </row>
    <row r="2021">
      <c r="A2021" s="3" t="inlineStr">
        <is>
          <t>LEDS120CV</t>
        </is>
      </c>
      <c r="B2021" s="2" t="inlineStr">
        <is>
          <t>iSparkle LED svietiaci záves, SMART, RGB, 120 LED, IP44</t>
        </is>
      </c>
      <c r="C2021" s="1" t="n">
        <v>22.29</v>
      </c>
      <c r="D2021" s="7" t="n">
        <f>HYPERLINK("https://www.somogyi.sk/product/isparkle-led-svietiaci-zaves-smart-rgb-120-led-ip44-leds120cv-17714","https://www.somogyi.sk/product/isparkle-led-svietiaci-zaves-smart-rgb-120-led-ip44-leds120cv-17714")</f>
        <v>0.0</v>
      </c>
      <c r="E2021" s="7" t="n">
        <f>HYPERLINK("https://www.somogyi.sk/data/img/product_main_images/small/17714.jpg","https://www.somogyi.sk/data/img/product_main_images/small/17714.jpg")</f>
        <v>0.0</v>
      </c>
      <c r="F2021" s="2" t="inlineStr">
        <is>
          <t>5999084957360</t>
        </is>
      </c>
      <c r="G2021" s="4" t="inlineStr">
        <is>
          <t xml:space="preserve"> • na vnútorné a vonkajšie použitie 
 • 120 ks RGB LED 
 • ovládanie pomocou aplikácie iSparkle 
 • nastaviteľné farby a režimy 
 • 10 reťazcov 
 • viacero produktov je možné zoskupiť a ovládať súčasne 
 • napájanie: sieťový adaptér IP44 na vonkajšie použitie 
 • farba kábla: priesvitná</t>
        </is>
      </c>
    </row>
    <row r="2022">
      <c r="A2022" s="3" t="inlineStr">
        <is>
          <t>MLCS 600/M</t>
        </is>
      </c>
      <c r="B2022" s="2" t="inlineStr">
        <is>
          <t>Micro LED cluster svietiaci reťazec, 600 LED, 3 9m, multicolor, 8pr</t>
        </is>
      </c>
      <c r="C2022" s="1" t="n">
        <v>68.49</v>
      </c>
      <c r="D2022" s="7" t="n">
        <f>HYPERLINK("https://www.somogyi.sk/product/micro-led-cluster-svietiaci-retazec-600-led-3-9m-multicolor-8pr-mlcs-600-m-17738","https://www.somogyi.sk/product/micro-led-cluster-svietiaci-retazec-600-led-3-9m-multicolor-8pr-mlcs-600-m-17738")</f>
        <v>0.0</v>
      </c>
      <c r="E2022" s="7" t="n">
        <f>HYPERLINK("https://www.somogyi.sk/data/img/product_main_images/small/17738.jpg","https://www.somogyi.sk/data/img/product_main_images/small/17738.jpg")</f>
        <v>0.0</v>
      </c>
      <c r="F2022" s="2" t="inlineStr">
        <is>
          <t>5999084957605</t>
        </is>
      </c>
      <c r="G2022" s="4" t="inlineStr">
        <is>
          <t xml:space="preserve"> • umiestnenie: na vonkajšie / vnútorné použitie 
 • zdroj svetla: micro LED 
 • počet zdrojov svetla: 600 ks 
 • farba zdrojov svetla: multicolor (RYBG) / teplá biela 
 • funkcie: 11 funkcií: teplá biela, farebná, blikajúce režimy • zmeniteľná svietivosť 
 • farba kábla: strieborná 
 • dĺžka: svietiaci reťazec: 9 m, napájací kábel: 3 m 
 • napájanie: 230 V~ / 50 Hz (IP44 vonkajší adaptér) / diaľkový ovládač: CR2025 batéria (je príslušenstvom)</t>
        </is>
      </c>
    </row>
    <row r="2023">
      <c r="A2023" s="3" t="inlineStr">
        <is>
          <t>MLF 200/WW</t>
        </is>
      </c>
      <c r="B2023" s="2" t="inlineStr">
        <is>
          <t>Micro LED svietiaci záves, 3 x 2 m, 10 reťazov / 20 LED, teplá biela, 8pr.</t>
        </is>
      </c>
      <c r="C2023" s="1" t="n">
        <v>19.69</v>
      </c>
      <c r="D2023" s="7" t="n">
        <f>HYPERLINK("https://www.somogyi.sk/product/micro-led-svietiaci-zaves-3-x-2-m-10-retazov-20-led-tepla-biela-8pr-mlf-200-ww-17720","https://www.somogyi.sk/product/micro-led-svietiaci-zaves-3-x-2-m-10-retazov-20-led-tepla-biela-8pr-mlf-200-ww-17720")</f>
        <v>0.0</v>
      </c>
      <c r="E2023" s="7" t="n">
        <f>HYPERLINK("https://www.somogyi.sk/data/img/product_main_images/small/17720.jpg","https://www.somogyi.sk/data/img/product_main_images/small/17720.jpg")</f>
        <v>0.0</v>
      </c>
      <c r="F2023" s="2" t="inlineStr">
        <is>
          <t>5999084957421</t>
        </is>
      </c>
      <c r="G2023" s="4" t="inlineStr">
        <is>
          <t xml:space="preserve"> • umiestnenie: na vnútorné použitie 
 • zdroj svetla: micro LED 
 • počet zdrojov svetla: 200 ks 
 • farba zdrojov svetla: teplá biela 
 • rozmery: 3 m x 2 m 
 • napájanie: USB (adaptér nie je príslušenstvom) 
 • ďalšie informácie: 10 reťazcov, 20 LED na jednom reťazci</t>
        </is>
      </c>
    </row>
    <row r="2024">
      <c r="A2024" s="3" t="inlineStr">
        <is>
          <t>ML 50/WH</t>
        </is>
      </c>
      <c r="B2024" s="2" t="inlineStr">
        <is>
          <t>Micro LED svietiaci reťazec, 50 studených bielych micro LED</t>
        </is>
      </c>
      <c r="C2024" s="1" t="n">
        <v>3.69</v>
      </c>
      <c r="D2024" s="7" t="n">
        <f>HYPERLINK("https://www.somogyi.sk/product/micro-led-svietiaci-retazec-50-studenych-bielych-micro-led-ml-50-wh-17737","https://www.somogyi.sk/product/micro-led-svietiaci-retazec-50-studenych-bielych-micro-led-ml-50-wh-17737")</f>
        <v>0.0</v>
      </c>
      <c r="E2024" s="7" t="n">
        <f>HYPERLINK("https://www.somogyi.sk/data/img/product_main_images/small/17737.jpg","https://www.somogyi.sk/data/img/product_main_images/small/17737.jpg")</f>
        <v>0.0</v>
      </c>
      <c r="F2024" s="2" t="inlineStr">
        <is>
          <t>5999084957599</t>
        </is>
      </c>
      <c r="G2024" s="4" t="inlineStr">
        <is>
          <t xml:space="preserve"> • umiestnenie: na vnútorné použitie 
 • zdroj svetla: micro LED 
 • počet zdrojov svetla: 50 ks 
 • farba zdrojov svetla: studená biela 
 • funkcie: ON / OFF / TIMER (6 h ON / 18 h OFF) opakujúci sa časovač 
 • farba kábla: transparentný 
 • dĺžka: 4,9 m 
 • napájanie: 3 x 1,5 V (AA) batéria, nie je príslušenstvom 
 • ďalšie informácie: žiariace, bodové micro LED</t>
        </is>
      </c>
    </row>
    <row r="2025">
      <c r="A2025" s="3" t="inlineStr">
        <is>
          <t>MLF 400/WH</t>
        </is>
      </c>
      <c r="B2025" s="2" t="inlineStr">
        <is>
          <t>Micro LED svetelný záves</t>
        </is>
      </c>
      <c r="C2025" s="1" t="n">
        <v>27.29</v>
      </c>
      <c r="D2025" s="7" t="n">
        <f>HYPERLINK("https://www.somogyi.sk/product/micro-led-svetelny-zaves-mlf-400-wh-18135","https://www.somogyi.sk/product/micro-led-svetelny-zaves-mlf-400-wh-18135")</f>
        <v>0.0</v>
      </c>
      <c r="E2025" s="7" t="n">
        <f>HYPERLINK("https://www.somogyi.sk/data/img/product_main_images/small/18135.jpg","https://www.somogyi.sk/data/img/product_main_images/small/18135.jpg")</f>
        <v>0.0</v>
      </c>
      <c r="F2025" s="2" t="inlineStr">
        <is>
          <t>5999084961572</t>
        </is>
      </c>
      <c r="G2025" s="4" t="inlineStr">
        <is>
          <t xml:space="preserve"> • na vonkajšie a vnútorné použitie 
 • 400 ks teplých bielych LED 
 • rozmery závesu: 2 x 2 m 
 • vzdialenosť: medzi LED: 10 cm / medzi reťazcami: 10 cm 
 • 5 m napájací kábel 
 • napájanie: vonkajší IP44 sieťový adaptér</t>
        </is>
      </c>
    </row>
    <row r="2026">
      <c r="A2026" s="3" t="inlineStr">
        <is>
          <t>LED508DWW</t>
        </is>
      </c>
      <c r="B2026" s="2" t="inlineStr">
        <is>
          <t>DOT LED svietiaci reťazec, 50 m, teplá biela</t>
        </is>
      </c>
      <c r="C2026" s="1" t="n">
        <v>39.99</v>
      </c>
      <c r="D2026" s="7" t="n">
        <f>HYPERLINK("https://www.somogyi.sk/product/dot-led-svietiaci-retazec-50-m-tepla-biela-led508dww-18612","https://www.somogyi.sk/product/dot-led-svietiaci-retazec-50-m-tepla-biela-led508dww-18612")</f>
        <v>0.0</v>
      </c>
      <c r="E2026" s="7" t="n">
        <f>HYPERLINK("https://www.somogyi.sk/data/img/product_main_images/small/18612.jpg","https://www.somogyi.sk/data/img/product_main_images/small/18612.jpg")</f>
        <v>0.0</v>
      </c>
      <c r="F2026" s="2" t="inlineStr">
        <is>
          <t>5999084966300</t>
        </is>
      </c>
      <c r="G2026" s="4" t="inlineStr">
        <is>
          <t xml:space="preserve"> • umiestnenie: na vonkajšie / vnútorné použitie 
 • zdroj svetla: LED 
 • počet zdrojov svetla: 500 ks 
 • farba zdrojov svetla: teplá biela 
 • funkcie: 8 režimov svietenia, s pamäťou 
 • časovač: voliteľné opakované časovanie (6 h ON / 18 h OFF) 
 • farba kábla: zelená 
 • dĺžka: 50 m dĺžka reťazca (10 cm medzi LED) 
 • dĺžka napájacieho kábla: 3 m 
 • ochrana proti vode: IP44 
 • napájanie: sieťový adaptér IP44 na vonkajšie použitie 
 • príslušenstvo: mini káblový bubon</t>
        </is>
      </c>
    </row>
    <row r="2027">
      <c r="A2027" s="3" t="inlineStr">
        <is>
          <t>ML 30/WW</t>
        </is>
      </c>
      <c r="B2027" s="2" t="inlineStr">
        <is>
          <t>Micro LED svietiaci reťazec, 30 teplých bielych micro LED</t>
        </is>
      </c>
      <c r="C2027" s="1" t="n">
        <v>2.49</v>
      </c>
      <c r="D2027" s="7" t="n">
        <f>HYPERLINK("https://www.somogyi.sk/product/micro-led-svietiaci-retazec-30-teplych-bielych-micro-led-ml-30-ww-17734","https://www.somogyi.sk/product/micro-led-svietiaci-retazec-30-teplych-bielych-micro-led-ml-30-ww-17734")</f>
        <v>0.0</v>
      </c>
      <c r="E2027" s="7" t="n">
        <f>HYPERLINK("https://www.somogyi.sk/data/img/product_main_images/small/17734.jpg","https://www.somogyi.sk/data/img/product_main_images/small/17734.jpg")</f>
        <v>0.0</v>
      </c>
      <c r="F2027" s="2" t="inlineStr">
        <is>
          <t>5999084957568</t>
        </is>
      </c>
      <c r="G2027" s="4" t="inlineStr">
        <is>
          <t xml:space="preserve"> • umiestnenie: na vnútorné použitie 
 • zdroj svetla: micro LED 
 • počet zdrojov svetla: 30 ks 
 • farba zdrojov svetla: teplá biela 
 • funkcie: ON / OFF / TIMER (6 h ON / 18 h OFF) opakujúci sa časovač 
 • farba kábla: priesvitný 
 • dĺžka: 2,9 m 
 • napájanie: 2 x 1,5 V (AA) batéria, nie je príslušenstvom 
 • ďalšie informácie: jasne žiariace, bodové micro LED</t>
        </is>
      </c>
    </row>
    <row r="2028">
      <c r="A2028" s="6" t="inlineStr">
        <is>
          <t xml:space="preserve">   Vianočné dekoračné osvetlenie / Svietiaci reťazec s dekoráciou</t>
        </is>
      </c>
      <c r="B2028" s="6" t="inlineStr">
        <is>
          <t/>
        </is>
      </c>
      <c r="C2028" s="6" t="inlineStr">
        <is>
          <t/>
        </is>
      </c>
      <c r="D2028" s="6" t="inlineStr">
        <is>
          <t/>
        </is>
      </c>
      <c r="E2028" s="6" t="inlineStr">
        <is>
          <t/>
        </is>
      </c>
      <c r="F2028" s="6" t="inlineStr">
        <is>
          <t/>
        </is>
      </c>
      <c r="G2028" s="6" t="inlineStr">
        <is>
          <t/>
        </is>
      </c>
    </row>
    <row r="2029">
      <c r="A2029" s="3" t="inlineStr">
        <is>
          <t>KII 100B/M</t>
        </is>
      </c>
      <c r="B2029" s="2" t="inlineStr">
        <is>
          <t>LED svietiaci reťazec guľa</t>
        </is>
      </c>
      <c r="C2029" s="1" t="n">
        <v>18.89</v>
      </c>
      <c r="D2029" s="7" t="n">
        <f>HYPERLINK("https://www.somogyi.sk/product/led-svietiaci-retazec-gula-kii-100b-m-16144","https://www.somogyi.sk/product/led-svietiaci-retazec-gula-kii-100b-m-16144")</f>
        <v>0.0</v>
      </c>
      <c r="E2029" s="7" t="n">
        <f>HYPERLINK("https://www.somogyi.sk/data/img/product_main_images/small/16144.jpg","https://www.somogyi.sk/data/img/product_main_images/small/16144.jpg")</f>
        <v>0.0</v>
      </c>
      <c r="F2029" s="2" t="inlineStr">
        <is>
          <t>5999084941765</t>
        </is>
      </c>
      <c r="G2029" s="4" t="inlineStr">
        <is>
          <t xml:space="preserve"> • umiestnenie: na vnútorné použitie 
 • zdroj svetla: LED 
 • počet zdrojov svetla: 100 ks 
 • farba zdrojov svetla: farebná 
 • farba kábla: zelená 
 • dĺžka: 8 m 
 • napájanie: 230 V~ (adaptér)</t>
        </is>
      </c>
    </row>
    <row r="2030">
      <c r="A2030" s="3" t="inlineStr">
        <is>
          <t>MLC 10/CS</t>
        </is>
      </c>
      <c r="B2030" s="2" t="inlineStr">
        <is>
          <t>LED svietiaci reťazec, hviezda</t>
        </is>
      </c>
      <c r="C2030" s="1" t="n">
        <v>2.89</v>
      </c>
      <c r="D2030" s="7" t="n">
        <f>HYPERLINK("https://www.somogyi.sk/product/led-svietiaci-retazec-hviezda-mlc-10-cs-9868","https://www.somogyi.sk/product/led-svietiaci-retazec-hviezda-mlc-10-cs-9868")</f>
        <v>0.0</v>
      </c>
      <c r="E2030" s="7" t="n">
        <f>HYPERLINK("https://www.somogyi.sk/data/img/product_main_images/small/09868.jpg","https://www.somogyi.sk/data/img/product_main_images/small/09868.jpg")</f>
        <v>0.0</v>
      </c>
      <c r="F2030" s="2" t="inlineStr">
        <is>
          <t>5998312785881</t>
        </is>
      </c>
      <c r="G2030" s="4" t="inlineStr">
        <is>
          <t xml:space="preserve"> • umiestnenie: vnútorné použitie 
 • zdroj svetla: LED 
 • počet zdrojov svetla: 10 ks 
 • farba zdrojov svetla: studená biela 
 • funkcie: - 
 • farba kábla: priesvitná 
 • dĺžka: 0,9 m 
 • náhradná žiarovka: - 
 • napájanie: 2 x AA batéria (nie je príslušenstvom) 
 • ďalšie informácie: držiak batérií s vypínačom</t>
        </is>
      </c>
    </row>
    <row r="2031">
      <c r="A2031" s="3" t="inlineStr">
        <is>
          <t>MLD 20/WW</t>
        </is>
      </c>
      <c r="B2031" s="2" t="inlineStr">
        <is>
          <t>Micro LED svietiaci reťazec, batériový, teplá biela</t>
        </is>
      </c>
      <c r="C2031" s="1" t="n">
        <v>2.89</v>
      </c>
      <c r="D2031" s="7" t="n">
        <f>HYPERLINK("https://www.somogyi.sk/product/micro-led-svietiaci-retazec-bateriovy-tepla-biela-mld-20-ww-16515","https://www.somogyi.sk/product/micro-led-svietiaci-retazec-bateriovy-tepla-biela-mld-20-ww-16515")</f>
        <v>0.0</v>
      </c>
      <c r="E2031" s="7" t="n">
        <f>HYPERLINK("https://www.somogyi.sk/data/img/product_main_images/small/16515.jpg","https://www.somogyi.sk/data/img/product_main_images/small/16515.jpg")</f>
        <v>0.0</v>
      </c>
      <c r="F2031" s="2" t="inlineStr">
        <is>
          <t>5999084945473</t>
        </is>
      </c>
      <c r="G2031" s="4" t="inlineStr">
        <is>
          <t xml:space="preserve"> • napájanie: 3 x LR44 gombíková batéria (je príslušenstvom) 
 • vonkajšia / vnútorná: na vnútorné použitie 
 • farba LED: teplá biela 
 • počet LED: 20 ks bodových mikro LED 
 • efekty: stále svetlo 
 • rozmery: 2 m</t>
        </is>
      </c>
    </row>
    <row r="2032">
      <c r="A2032" s="3" t="inlineStr">
        <is>
          <t>KJL 50C</t>
        </is>
      </c>
      <c r="B2032" s="2" t="inlineStr">
        <is>
          <t>Svetelný reťazec cencúľ</t>
        </is>
      </c>
      <c r="C2032" s="1" t="n">
        <v>37.69</v>
      </c>
      <c r="D2032" s="7" t="n">
        <f>HYPERLINK("https://www.somogyi.sk/product/svetelny-retazec-cencul-kjl-50c-15475","https://www.somogyi.sk/product/svetelny-retazec-cencul-kjl-50c-15475")</f>
        <v>0.0</v>
      </c>
      <c r="E2032" s="7" t="n">
        <f>HYPERLINK("https://www.somogyi.sk/data/img/product_main_images/small/15475.jpg","https://www.somogyi.sk/data/img/product_main_images/small/15475.jpg")</f>
        <v>0.0</v>
      </c>
      <c r="F2032" s="2" t="inlineStr">
        <is>
          <t>5999084935092</t>
        </is>
      </c>
      <c r="G2032" s="4" t="inlineStr">
        <is>
          <t xml:space="preserve"> • umiestnenie: na vonkajšie / vnútorné použitie 
 • zdroj svetla: LED 
 • počet zdrojov svetla: 50 ks 
 • farba zdrojov svetla: studená biela 
 • farba kábla: biela 
 • dĺžka: 7,3 m 
 • napájanie: 230 V~ (adaptér) 
 • ďalšie informácie: 50 ks 15 cm cencúľ, v plastovom kufríku</t>
        </is>
      </c>
    </row>
    <row r="2033">
      <c r="A2033" s="3" t="inlineStr">
        <is>
          <t>MLD 20/M</t>
        </is>
      </c>
      <c r="B2033" s="2" t="inlineStr">
        <is>
          <t>Micro LED svietiaci reťazec, batériový, farebná</t>
        </is>
      </c>
      <c r="C2033" s="1" t="n">
        <v>2.29</v>
      </c>
      <c r="D2033" s="7" t="n">
        <f>HYPERLINK("https://www.somogyi.sk/product/micro-led-svietiaci-retazec-bateriovy-farebna-mld-20-m-16514","https://www.somogyi.sk/product/micro-led-svietiaci-retazec-bateriovy-farebna-mld-20-m-16514")</f>
        <v>0.0</v>
      </c>
      <c r="E2033" s="7" t="n">
        <f>HYPERLINK("https://www.somogyi.sk/data/img/product_main_images/small/16514.jpg","https://www.somogyi.sk/data/img/product_main_images/small/16514.jpg")</f>
        <v>0.0</v>
      </c>
      <c r="F2033" s="2" t="inlineStr">
        <is>
          <t>5999084945466</t>
        </is>
      </c>
      <c r="G2033" s="4" t="inlineStr">
        <is>
          <t xml:space="preserve"> • napájanie: 3 x LR44 gombíková batéria (je príslušenstvom) 
 • vonkajšia / vnútorná: na vnútorné použitie 
 • farba LED: multicolor 
 • počet LED: 20 ks bodových mikro LED 
 • efekty: stále svetlo 
 • rozmery: 2 m</t>
        </is>
      </c>
    </row>
    <row r="2034">
      <c r="A2034" s="3" t="inlineStr">
        <is>
          <t>KIL 40C/M</t>
        </is>
      </c>
      <c r="B2034" s="2" t="inlineStr">
        <is>
          <t>Svietiaci reťazec</t>
        </is>
      </c>
      <c r="C2034" s="1" t="n">
        <v>12.79</v>
      </c>
      <c r="D2034" s="7" t="n">
        <f>HYPERLINK("https://www.somogyi.sk/product/svietiaci-retazec-kil-40c-m-15576","https://www.somogyi.sk/product/svietiaci-retazec-kil-40c-m-15576")</f>
        <v>0.0</v>
      </c>
      <c r="E2034" s="7" t="n">
        <f>HYPERLINK("https://www.somogyi.sk/data/img/product_main_images/small/15576.jpg","https://www.somogyi.sk/data/img/product_main_images/small/15576.jpg")</f>
        <v>0.0</v>
      </c>
      <c r="F2034" s="2" t="inlineStr">
        <is>
          <t>5999084936105</t>
        </is>
      </c>
      <c r="G2034" s="4" t="inlineStr">
        <is>
          <t xml:space="preserve"> • umiestnenie: na vnútorné použitie 
 • zdroj svetla: LED 
 • počet zdrojov svetla: 40 ks 
 • farba zdrojov svetla: farebná 
 • farba kábla: zelená 
 • dĺžka: 4 m 
 • napájanie: 230 V~ 
 • ďalšie informácie: balenie: plastový kufrík</t>
        </is>
      </c>
    </row>
    <row r="2035">
      <c r="A2035" s="3" t="inlineStr">
        <is>
          <t>RLS5WW</t>
        </is>
      </c>
      <c r="B2035" s="2" t="inlineStr">
        <is>
          <t>LED stuha so vzormi</t>
        </is>
      </c>
      <c r="C2035" s="1" t="n">
        <v>9.29</v>
      </c>
      <c r="D2035" s="7" t="n">
        <f>HYPERLINK("https://www.somogyi.sk/product/led-stuha-so-vzormi-rls5ww-18588","https://www.somogyi.sk/product/led-stuha-so-vzormi-rls5ww-18588")</f>
        <v>0.0</v>
      </c>
      <c r="E2035" s="7" t="n">
        <f>HYPERLINK("https://www.somogyi.sk/data/img/product_main_images/small/18588.jpg","https://www.somogyi.sk/data/img/product_main_images/small/18588.jpg")</f>
        <v>0.0</v>
      </c>
      <c r="F2035" s="2" t="inlineStr">
        <is>
          <t>5999084966065</t>
        </is>
      </c>
      <c r="G2035" s="4" t="inlineStr">
        <is>
          <t xml:space="preserve"> • umiestnenie: na vonkajšie / vnútorné použitie 
 • zdroj svetla: micro LED 
 • počet zdrojov svetla: 50 ks 
 • farba zdrojov svetla: teplá biela 
 • funkcie: 8 režimov svietenia 
 • časovač: 6h ON/18h OFF časovač 
 • dĺžka napájacieho kábla: 30 cm 
 • napájanie: 3 x 1,5 V (AAA) batéria (nie je príslušenstvom) 
 • ďalšie informácie: IP44 puzdro na batérie s 8 funkciami</t>
        </is>
      </c>
    </row>
    <row r="2036">
      <c r="A2036" s="3" t="inlineStr">
        <is>
          <t>MLC20B</t>
        </is>
      </c>
      <c r="B2036" s="2" t="inlineStr">
        <is>
          <t>LED svietiaci reťazec, guľa, batériový, 20 teplých bielych LED</t>
        </is>
      </c>
      <c r="C2036" s="1" t="n">
        <v>14.69</v>
      </c>
      <c r="D2036" s="7" t="n">
        <f>HYPERLINK("https://www.somogyi.sk/product/led-svietiaci-retazec-gula-bateriovy-20-teplych-bielych-led-mlc20b-18995","https://www.somogyi.sk/product/led-svietiaci-retazec-gula-bateriovy-20-teplych-bielych-led-mlc20b-18995")</f>
        <v>0.0</v>
      </c>
      <c r="E2036" s="7" t="n">
        <f>HYPERLINK("https://www.somogyi.sk/data/img/product_main_images/small/18995.jpg","https://www.somogyi.sk/data/img/product_main_images/small/18995.jpg")</f>
        <v>0.0</v>
      </c>
      <c r="F2036" s="2" t="inlineStr">
        <is>
          <t>5999084969899</t>
        </is>
      </c>
      <c r="G2036" s="4" t="inlineStr">
        <is>
          <t xml:space="preserve"> • 20 ks teplých bielych LED  
 • drevená a plastová guľová dekorácia za- / vypínač  
 • napájanie: 3 x 1,5 V (AA) batéria, nie je príslušenstvom 
 • 2,85 m + 0,3 m</t>
        </is>
      </c>
    </row>
    <row r="2037">
      <c r="A2037" s="3" t="inlineStr">
        <is>
          <t>G 10201</t>
        </is>
      </c>
      <c r="B2037" s="2" t="inlineStr">
        <is>
          <t>Dekorácia cencúľ, 10 cencúľ, 200 LED</t>
        </is>
      </c>
      <c r="C2037" s="1" t="n">
        <v>55.49</v>
      </c>
      <c r="D2037" s="7" t="n">
        <f>HYPERLINK("https://www.somogyi.sk/product/dekoracia-cencul-10-cencul-200-led-g-10201-17862","https://www.somogyi.sk/product/dekoracia-cencul-10-cencul-200-led-g-10201-17862")</f>
        <v>0.0</v>
      </c>
      <c r="E2037" s="7" t="n">
        <f>HYPERLINK("https://www.somogyi.sk/data/img/product_main_images/small/17862.jpg","https://www.somogyi.sk/data/img/product_main_images/small/17862.jpg")</f>
        <v>0.0</v>
      </c>
      <c r="F2037" s="2" t="inlineStr">
        <is>
          <t>5999084958848</t>
        </is>
      </c>
      <c r="G2037" s="4" t="inlineStr">
        <is>
          <t xml:space="preserve"> • umiestnenie: na vonkajšie / vnútorné použitie 
 • zdroj svetla: LED 
 • počet zdrojov svetla: 200 ks 
 • farba zdrojov svetla: studená biela 
 • dĺžka: 3,6 m 
 • napájanie: 230 V~ / 50 Hz (7 V adaptér) 
 • ďalšie informácie: 10 x 20 cm cencúle</t>
        </is>
      </c>
    </row>
    <row r="2038">
      <c r="A2038" s="3" t="inlineStr">
        <is>
          <t>KLG 25</t>
        </is>
      </c>
      <c r="B2038" s="2" t="inlineStr">
        <is>
          <t>Micro LED svietiaci reťazec s perlami</t>
        </is>
      </c>
      <c r="C2038" s="1" t="n">
        <v>11.49</v>
      </c>
      <c r="D2038" s="7" t="n">
        <f>HYPERLINK("https://www.somogyi.sk/product/micro-led-svietiaci-retazec-s-perlami-klg-25-15601","https://www.somogyi.sk/product/micro-led-svietiaci-retazec-s-perlami-klg-25-15601")</f>
        <v>0.0</v>
      </c>
      <c r="E2038" s="7" t="n">
        <f>HYPERLINK("https://www.somogyi.sk/data/img/product_main_images/small/15601.jpg","https://www.somogyi.sk/data/img/product_main_images/small/15601.jpg")</f>
        <v>0.0</v>
      </c>
      <c r="F2038" s="2" t="inlineStr">
        <is>
          <t>5999084936358</t>
        </is>
      </c>
      <c r="G2038" s="4" t="inlineStr">
        <is>
          <t xml:space="preserve"> • umiestnenie: na vnútorné použitie 
 • zdroj svetla: micro LED 
 • počet zdrojov svetla: 25 ks 
 • farba zdrojov svetla: teplá biela 
 • farba kábla: priesvitný 
 • dĺžka: 1,5 m 
 • napájanie: 3 x AA batéria (nie je príslušenstvom) 
 • ďalšie informácie: akrylová dekorácia perla, za- / vypínač</t>
        </is>
      </c>
    </row>
    <row r="2039">
      <c r="A2039" s="3" t="inlineStr">
        <is>
          <t>ML 21/WW</t>
        </is>
      </c>
      <c r="B2039" s="2" t="inlineStr">
        <is>
          <t>LED svietiaci reťazec batériový, 20 LED, dekorácia krištáľ</t>
        </is>
      </c>
      <c r="C2039" s="1" t="n">
        <v>4.09</v>
      </c>
      <c r="D2039" s="7" t="n">
        <f>HYPERLINK("https://www.somogyi.sk/product/led-svietiaci-retazec-bateriovy-20-led-dekoracia-kristal-ml-21-ww-16026","https://www.somogyi.sk/product/led-svietiaci-retazec-bateriovy-20-led-dekoracia-kristal-ml-21-ww-16026")</f>
        <v>0.0</v>
      </c>
      <c r="E2039" s="7" t="n">
        <f>HYPERLINK("https://www.somogyi.sk/data/img/product_main_images/small/16026.jpg","https://www.somogyi.sk/data/img/product_main_images/small/16026.jpg")</f>
        <v>0.0</v>
      </c>
      <c r="F2039" s="2" t="inlineStr">
        <is>
          <t>5999084940584</t>
        </is>
      </c>
      <c r="G2039" s="4" t="inlineStr">
        <is>
          <t xml:space="preserve"> • umiestnenie: na vnútorné použitie 
 • zdroj svetla: micro LED 
 • počet zdrojov svetla: 20 ks 
 • farba zdrojov svetla: teplá biela 
 • farba kábla: transparentný 
 • dĺžka: 1,9 m 
 • napájanie: 2 x AA (1,5 V) batéria (nie je príslušenstvom) 
 • ďalšie informácie: akrylová krištálová dekorácia</t>
        </is>
      </c>
    </row>
    <row r="2040">
      <c r="A2040" s="3" t="inlineStr">
        <is>
          <t>ML 23/WW</t>
        </is>
      </c>
      <c r="B2040" s="2" t="inlineStr">
        <is>
          <t>Micro LED svietiaci reťazec</t>
        </is>
      </c>
      <c r="C2040" s="1" t="n">
        <v>6.89</v>
      </c>
      <c r="D2040" s="7" t="n">
        <f>HYPERLINK("https://www.somogyi.sk/product/micro-led-svietiaci-retazec-ml-23-ww-16985","https://www.somogyi.sk/product/micro-led-svietiaci-retazec-ml-23-ww-16985")</f>
        <v>0.0</v>
      </c>
      <c r="E2040" s="7" t="n">
        <f>HYPERLINK("https://www.somogyi.sk/data/img/product_main_images/small/16985.jpg","https://www.somogyi.sk/data/img/product_main_images/small/16985.jpg")</f>
        <v>0.0</v>
      </c>
      <c r="F2040" s="2" t="inlineStr">
        <is>
          <t>5999084950170</t>
        </is>
      </c>
      <c r="G2040" s="4" t="inlineStr">
        <is>
          <t xml:space="preserve"> • umiestnenie: na vnútorné použitie 
 • zdroj svetla: micro LED 
 • počet zdrojov svetla: 20 ks 
 • farba zdrojov svetla: teplá biela 
 • funkcie: ON/OFF/TIMER (6 h ON/18 h OFF) časovač 
 • napájanie: 2 x 1,5 V (AA) batéria, nie je príslušenstvom 
 • ďalšie informácie: 4 druhy, drevené figúrky: sob, zvonček, anjel, vločka</t>
        </is>
      </c>
    </row>
    <row r="2041">
      <c r="A2041" s="3" t="inlineStr">
        <is>
          <t>MLF 26/WW</t>
        </is>
      </c>
      <c r="B2041" s="2" t="inlineStr">
        <is>
          <t>Micro LED svetelný reťazec, batériový</t>
        </is>
      </c>
      <c r="C2041" s="1" t="n">
        <v>2.69</v>
      </c>
      <c r="D2041" s="7" t="n">
        <f>HYPERLINK("https://www.somogyi.sk/product/micro-led-svetelny-retazec-bateriovy-mlf-26-ww-18137","https://www.somogyi.sk/product/micro-led-svetelny-retazec-bateriovy-mlf-26-ww-18137")</f>
        <v>0.0</v>
      </c>
      <c r="E2041" s="7" t="n">
        <f>HYPERLINK("https://www.somogyi.sk/data/img/product_main_images/small/18137.jpg","https://www.somogyi.sk/data/img/product_main_images/small/18137.jpg")</f>
        <v>0.0</v>
      </c>
      <c r="F2041" s="2" t="inlineStr">
        <is>
          <t>5999084961596</t>
        </is>
      </c>
      <c r="G2041" s="4" t="inlineStr">
        <is>
          <t xml:space="preserve"> • teplá biela farba, stále svetlo 
 • 20 ks bodových micro LED 
 • funkcie tlačidla: TIMER (6h ON / 18h OFF)/ON/OFF 
 • Výmenu batérie môže vykonať iba dospelá osoba!</t>
        </is>
      </c>
    </row>
    <row r="2042">
      <c r="A2042" s="3" t="inlineStr">
        <is>
          <t>KII 100B/WW</t>
        </is>
      </c>
      <c r="B2042" s="2" t="inlineStr">
        <is>
          <t>LED svietiaci reťazec guľa</t>
        </is>
      </c>
      <c r="C2042" s="1" t="n">
        <v>18.89</v>
      </c>
      <c r="D2042" s="7" t="n">
        <f>HYPERLINK("https://www.somogyi.sk/product/led-svietiaci-retazec-gula-kii-100b-ww-16143","https://www.somogyi.sk/product/led-svietiaci-retazec-gula-kii-100b-ww-16143")</f>
        <v>0.0</v>
      </c>
      <c r="E2042" s="7" t="n">
        <f>HYPERLINK("https://www.somogyi.sk/data/img/product_main_images/small/16143.jpg","https://www.somogyi.sk/data/img/product_main_images/small/16143.jpg")</f>
        <v>0.0</v>
      </c>
      <c r="F2042" s="2" t="inlineStr">
        <is>
          <t>5999084941758</t>
        </is>
      </c>
      <c r="G2042" s="4" t="inlineStr">
        <is>
          <t xml:space="preserve"> • umiestnenie: na vnútorné použitie 
 • zdroj svetla: LED 
 • počet zdrojov svetla: 100 ks 
 • farba zdrojov svetla: teplá biela 
 • farba kábla: zelená 
 • dĺžka: 8 m 
 • napájanie: 230 V~ (adaptér)</t>
        </is>
      </c>
    </row>
    <row r="2043">
      <c r="A2043" s="3" t="inlineStr">
        <is>
          <t>KJL 240</t>
        </is>
      </c>
      <c r="B2043" s="2" t="inlineStr">
        <is>
          <t>Svietiaci reťazec cencúľ, 240 studených bielych LED</t>
        </is>
      </c>
      <c r="C2043" s="1" t="n">
        <v>54.39</v>
      </c>
      <c r="D2043" s="7" t="n">
        <f>HYPERLINK("https://www.somogyi.sk/product/svietiaci-retazec-cencul-240-studenych-bielych-led-kjl-240-17861","https://www.somogyi.sk/product/svietiaci-retazec-cencul-240-studenych-bielych-led-kjl-240-17861")</f>
        <v>0.0</v>
      </c>
      <c r="E2043" s="7" t="n">
        <f>HYPERLINK("https://www.somogyi.sk/data/img/product_main_images/small/17861.jpg","https://www.somogyi.sk/data/img/product_main_images/small/17861.jpg")</f>
        <v>0.0</v>
      </c>
      <c r="F2043" s="2" t="inlineStr">
        <is>
          <t>5999084958831</t>
        </is>
      </c>
      <c r="G2043" s="4" t="inlineStr">
        <is>
          <t xml:space="preserve"> • umiestnenie: na vonkajšie / vnútorné použitie 
 • zdroj svetla: LED 
 • počet zdrojov svetla: 240 ks 
 • farba zdrojov svetla: studená biela 
 • farba kábla: priesvitný 
 • dĺžka: dĺžka reťazca: 5,6 m • dĺžka napájacieho kábla: 5 m 
 • napájanie: IP44 sieťový adaptér je príslušenstvom 
 • ďalšie informácie: 15 cencúl, 16 LED na jednom cencúli</t>
        </is>
      </c>
    </row>
    <row r="2044">
      <c r="A2044" s="3" t="inlineStr">
        <is>
          <t>MLF 26/WH</t>
        </is>
      </c>
      <c r="B2044" s="2" t="inlineStr">
        <is>
          <t>Micro LED svetelný reťazec, batériový</t>
        </is>
      </c>
      <c r="C2044" s="1" t="n">
        <v>2.69</v>
      </c>
      <c r="D2044" s="7" t="n">
        <f>HYPERLINK("https://www.somogyi.sk/product/micro-led-svetelny-retazec-bateriovy-mlf-26-wh-18136","https://www.somogyi.sk/product/micro-led-svetelny-retazec-bateriovy-mlf-26-wh-18136")</f>
        <v>0.0</v>
      </c>
      <c r="E2044" s="7" t="n">
        <f>HYPERLINK("https://www.somogyi.sk/data/img/product_main_images/small/18136.jpg","https://www.somogyi.sk/data/img/product_main_images/small/18136.jpg")</f>
        <v>0.0</v>
      </c>
      <c r="F2044" s="2" t="inlineStr">
        <is>
          <t>5999084961589</t>
        </is>
      </c>
      <c r="G2044" s="4" t="inlineStr">
        <is>
          <t xml:space="preserve"> • studená biela farba, stále svetlo 
 • 20 ks bodových micro LED 
 • funkcie tlačidla: TIMER (6h ON / 18h OFF)/ON/OFF 
 • Výmenu batérie môže vykonať iba dospelá osoba!</t>
        </is>
      </c>
    </row>
    <row r="2045">
      <c r="A2045" s="3" t="inlineStr">
        <is>
          <t>KBC 50</t>
        </is>
      </c>
      <c r="B2045" s="2" t="inlineStr">
        <is>
          <t>LED svietiaci reťazec, guľa</t>
        </is>
      </c>
      <c r="C2045" s="1" t="n">
        <v>24.89</v>
      </c>
      <c r="D2045" s="7" t="n">
        <f>HYPERLINK("https://www.somogyi.sk/product/led-svietiaci-retazec-gula-kbc-50-15647","https://www.somogyi.sk/product/led-svietiaci-retazec-gula-kbc-50-15647")</f>
        <v>0.0</v>
      </c>
      <c r="E2045" s="7" t="n">
        <f>HYPERLINK("https://www.somogyi.sk/data/img/product_main_images/small/15647.jpg","https://www.somogyi.sk/data/img/product_main_images/small/15647.jpg")</f>
        <v>0.0</v>
      </c>
      <c r="F2045" s="2" t="inlineStr">
        <is>
          <t>5999084936815</t>
        </is>
      </c>
      <c r="G2045" s="4" t="inlineStr">
        <is>
          <t xml:space="preserve"> • umiestnenie: na vonkajšie / vnútorné použitie 
 • zdroj svetla: LED 
 • počet zdrojov svetla: 50 ks 
 • farba zdrojov svetla: zmena farieb LED 
 • funkcie: automatická, priebežná zmena farieb 
 • farba kábla: čierna 
 • dĺžka: 4,9 m 
 • napájanie: 230 V~ (adaptér) 
 • ďalšie informácie: opálová guľa dekorácia</t>
        </is>
      </c>
    </row>
    <row r="2046">
      <c r="A2046" s="3" t="inlineStr">
        <is>
          <t>KJL 360</t>
        </is>
      </c>
      <c r="B2046" s="2" t="inlineStr">
        <is>
          <t>Svietiaci reťazec cencúľ</t>
        </is>
      </c>
      <c r="C2046" s="1" t="n">
        <v>70.09</v>
      </c>
      <c r="D2046" s="7" t="n">
        <f>HYPERLINK("https://www.somogyi.sk/product/svietiaci-retazec-cencul-kjl-360-17860","https://www.somogyi.sk/product/svietiaci-retazec-cencul-kjl-360-17860")</f>
        <v>0.0</v>
      </c>
      <c r="E2046" s="7" t="n">
        <f>HYPERLINK("https://www.somogyi.sk/data/img/product_main_images/small/17860.jpg","https://www.somogyi.sk/data/img/product_main_images/small/17860.jpg")</f>
        <v>0.0</v>
      </c>
      <c r="F2046" s="2" t="inlineStr">
        <is>
          <t>5999084958824</t>
        </is>
      </c>
      <c r="G2046" s="4" t="inlineStr">
        <is>
          <t xml:space="preserve"> • umiestnenie: na vonkajšie / vnútorné použitie 
 • zdroj svetla: LED 
 • počet zdrojov svetla: 360 ks 
 • farba zdrojov svetla: studená biela 
 • dĺžka: dĺžka reťazca: 5,6 m • dĺžka napájacieho kábla: 5 m 
 • napájanie: IP44 sieťový adaptér je príslušenstvom 
 • ďalšie informácie: 15 cencúl, 24 LED na jednom cencúli</t>
        </is>
      </c>
    </row>
    <row r="2047">
      <c r="A2047" s="3" t="inlineStr">
        <is>
          <t>LP 20/WW</t>
        </is>
      </c>
      <c r="B2047" s="2" t="inlineStr">
        <is>
          <t>LED svietiaci reťazec, tvar hrušky</t>
        </is>
      </c>
      <c r="C2047" s="1" t="n">
        <v>31.09</v>
      </c>
      <c r="D2047" s="7" t="n">
        <f>HYPERLINK("https://www.somogyi.sk/product/led-svietiaci-retazec-tvar-hrusky-lp-20-ww-14843","https://www.somogyi.sk/product/led-svietiaci-retazec-tvar-hrusky-lp-20-ww-14843")</f>
        <v>0.0</v>
      </c>
      <c r="E2047" s="7" t="n">
        <f>HYPERLINK("https://www.somogyi.sk/data/img/product_main_images/small/14843.jpg","https://www.somogyi.sk/data/img/product_main_images/small/14843.jpg")</f>
        <v>0.0</v>
      </c>
      <c r="F2047" s="2" t="inlineStr">
        <is>
          <t>5999084928803</t>
        </is>
      </c>
      <c r="G2047" s="4" t="inlineStr">
        <is>
          <t xml:space="preserve"> • umiestnenie: vonkajšie / vnútorné použitie 
 • zdroj svetla: LED 
 • počet zdrojov svetla: 20 ks 
 • farba zdrojov svetla: teplá biela 
 • funkcie: - 
 • farba kábla: priesvitná 
 • dĺžka: 9,5 m 
 • náhradná žiarovka: - 
 • napájanie: 230 V~ (adaptérové) 
 • ďalšie informácie: 20 ks plastových žiaroviek</t>
        </is>
      </c>
    </row>
    <row r="2048">
      <c r="A2048" s="3" t="inlineStr">
        <is>
          <t>KII 200B/M</t>
        </is>
      </c>
      <c r="B2048" s="2" t="inlineStr">
        <is>
          <t>LED svietiaci reťazec guľa</t>
        </is>
      </c>
      <c r="C2048" s="1" t="n">
        <v>30.99</v>
      </c>
      <c r="D2048" s="7" t="n">
        <f>HYPERLINK("https://www.somogyi.sk/product/led-svietiaci-retazec-gula-kii-200b-m-16146","https://www.somogyi.sk/product/led-svietiaci-retazec-gula-kii-200b-m-16146")</f>
        <v>0.0</v>
      </c>
      <c r="E2048" s="7" t="n">
        <f>HYPERLINK("https://www.somogyi.sk/data/img/product_main_images/small/16146.jpg","https://www.somogyi.sk/data/img/product_main_images/small/16146.jpg")</f>
        <v>0.0</v>
      </c>
      <c r="F2048" s="2" t="inlineStr">
        <is>
          <t>5999084941789</t>
        </is>
      </c>
      <c r="G2048" s="4" t="inlineStr">
        <is>
          <t xml:space="preserve"> • umiestnenie: na vnútorné použitie 
 • zdroj svetla: LED 
 • počet zdrojov svetla: 200 ks 
 • farba zdrojov svetla: farebná 
 • farba kábla: zelená 
 • dĺžka: 16 m 
 • napájanie: 230 V~ (adaptér)</t>
        </is>
      </c>
    </row>
    <row r="2049">
      <c r="A2049" s="6" t="inlineStr">
        <is>
          <t xml:space="preserve">   Vianočné dekoračné osvetlenie / Svetelný záves</t>
        </is>
      </c>
      <c r="B2049" s="6" t="inlineStr">
        <is>
          <t/>
        </is>
      </c>
      <c r="C2049" s="6" t="inlineStr">
        <is>
          <t/>
        </is>
      </c>
      <c r="D2049" s="6" t="inlineStr">
        <is>
          <t/>
        </is>
      </c>
      <c r="E2049" s="6" t="inlineStr">
        <is>
          <t/>
        </is>
      </c>
      <c r="F2049" s="6" t="inlineStr">
        <is>
          <t/>
        </is>
      </c>
      <c r="G2049" s="6" t="inlineStr">
        <is>
          <t/>
        </is>
      </c>
    </row>
    <row r="2050">
      <c r="A2050" s="3" t="inlineStr">
        <is>
          <t>KAF200DWW</t>
        </is>
      </c>
      <c r="B2050" s="2" t="inlineStr">
        <is>
          <t>Svetelný záves DOT LED, 2 x 2 m, teplá biela</t>
        </is>
      </c>
      <c r="C2050" s="1" t="n">
        <v>18.19</v>
      </c>
      <c r="D2050" s="7" t="n">
        <f>HYPERLINK("https://www.somogyi.sk/product/svetelny-zaves-dot-led-2-x-2-m-tepla-biela-kaf200dww-18606","https://www.somogyi.sk/product/svetelny-zaves-dot-led-2-x-2-m-tepla-biela-kaf200dww-18606")</f>
        <v>0.0</v>
      </c>
      <c r="E2050" s="7" t="n">
        <f>HYPERLINK("https://www.somogyi.sk/data/img/product_main_images/small/18606.jpg","https://www.somogyi.sk/data/img/product_main_images/small/18606.jpg")</f>
        <v>0.0</v>
      </c>
      <c r="F2050" s="2" t="inlineStr">
        <is>
          <t>5999084966249</t>
        </is>
      </c>
      <c r="G2050" s="4" t="inlineStr">
        <is>
          <t xml:space="preserve"> • umiestnenie: na vonkajšie / vnútorné použitie 
 • zdroj svetla: LED 
 • počet zdrojov svetla: 200 ks 
 • farba zdrojov svetla: teplá biela 
 • funkcie: 8 režimov svietenia, s pamäťou 
 • časovač: voliteľné opakované časovanie (6 h ON / 18 h OFF) 
 • farba kábla: priesvitný 
 • rozmery: rozmery: 2 m x 2 m • 10 reťazcov, 20 cm medzi reťazcami • 10 cm medzi LED 
 • dĺžka napájacieho kábla: 5 m 
 • ochrana proti vode: IP44 
 • napájanie: sieťový adaptér IP44 na vonkajšie použitie</t>
        </is>
      </c>
    </row>
    <row r="2051">
      <c r="A2051" s="3" t="inlineStr">
        <is>
          <t>KAF200DWH</t>
        </is>
      </c>
      <c r="B2051" s="2" t="inlineStr">
        <is>
          <t>Svetelný záves DOT LED, 2 x 2 m, studená biela</t>
        </is>
      </c>
      <c r="C2051" s="1" t="n">
        <v>18.19</v>
      </c>
      <c r="D2051" s="7" t="n">
        <f>HYPERLINK("https://www.somogyi.sk/product/svetelny-zaves-dot-led-2-x-2-m-studena-biela-kaf200dwh-18610","https://www.somogyi.sk/product/svetelny-zaves-dot-led-2-x-2-m-studena-biela-kaf200dwh-18610")</f>
        <v>0.0</v>
      </c>
      <c r="E2051" s="7" t="n">
        <f>HYPERLINK("https://www.somogyi.sk/data/img/product_main_images/small/18610.jpg","https://www.somogyi.sk/data/img/product_main_images/small/18610.jpg")</f>
        <v>0.0</v>
      </c>
      <c r="F2051" s="2" t="inlineStr">
        <is>
          <t>5999084966287</t>
        </is>
      </c>
      <c r="G2051" s="4" t="inlineStr">
        <is>
          <t xml:space="preserve"> • umiestnenie: na vonkajšie / vnútorné použitie 
 • zdroj svetla: LED 
 • počet zdrojov svetla: 200 ks 
 • farba zdrojov svetla: studená biela 
 • funkcie: 8 režimov svietenia, s pamäťou 
 • časovač: voliteľné opakované časovanie (6 h ON / 18 h OFF) 
 • farba kábla: priesvitný 
 • rozmery: rozmery: 2 m x 2 m • 10 reťazcov, 20 cm medzi reťazcami • 10 cm medzi LED 
 • dĺžka napájacieho kábla: 5 m 
 • ochrana proti vode: IP44 
 • napájanie: sieťový adaptér IP44 na vonkajšie použitie</t>
        </is>
      </c>
    </row>
    <row r="2052">
      <c r="A2052" s="3" t="inlineStr">
        <is>
          <t>KKF 308/M</t>
        </is>
      </c>
      <c r="B2052" s="2" t="inlineStr">
        <is>
          <t>LED svietiaci záves cencúľ</t>
        </is>
      </c>
      <c r="C2052" s="1" t="n">
        <v>34.89</v>
      </c>
      <c r="D2052" s="7" t="n">
        <f>HYPERLINK("https://www.somogyi.sk/product/led-svietiaci-zaves-cencul-kkf-308-m-16962","https://www.somogyi.sk/product/led-svietiaci-zaves-cencul-kkf-308-m-16962")</f>
        <v>0.0</v>
      </c>
      <c r="E2052" s="7" t="n">
        <f>HYPERLINK("https://www.somogyi.sk/data/img/product_main_images/small/16962.jpg","https://www.somogyi.sk/data/img/product_main_images/small/16962.jpg")</f>
        <v>0.0</v>
      </c>
      <c r="F2052" s="2" t="inlineStr">
        <is>
          <t>5999084949945</t>
        </is>
      </c>
      <c r="G2052" s="4" t="inlineStr">
        <is>
          <t xml:space="preserve"> • umiestnenie: na vonkajšie / vnútorné použitie 
 • zdroj svetla: LED 
 • počet zdrojov svetla: 300 ks 
 • farba zdrojov svetla: farebná 
 • funkcie: 8 programov, s pamäťou 
 • farba kábla: biela 
 • dĺžka: 5 + 10 m 
 • napájanie: sieťový adaptér IP44 na vonkajšie použitie 
 • ďalšie informácie: priebežná prevádzka alebo 6h ON/18h OFF časovač</t>
        </is>
      </c>
    </row>
    <row r="2053">
      <c r="A2053" s="3" t="inlineStr">
        <is>
          <t>KAF110WW</t>
        </is>
      </c>
      <c r="B2053" s="2" t="inlineStr">
        <is>
          <t>Svetelný záves, vianočný stromček</t>
        </is>
      </c>
      <c r="C2053" s="1" t="n">
        <v>26.09</v>
      </c>
      <c r="D2053" s="7" t="n">
        <f>HYPERLINK("https://www.somogyi.sk/product/svetelny-zaves-vianocny-stromcek-kaf110ww-18598","https://www.somogyi.sk/product/svetelny-zaves-vianocny-stromcek-kaf110ww-18598")</f>
        <v>0.0</v>
      </c>
      <c r="E2053" s="7" t="n">
        <f>HYPERLINK("https://www.somogyi.sk/data/img/product_main_images/small/18598.jpg","https://www.somogyi.sk/data/img/product_main_images/small/18598.jpg")</f>
        <v>0.0</v>
      </c>
      <c r="F2053" s="2" t="inlineStr">
        <is>
          <t>5999084966164</t>
        </is>
      </c>
      <c r="G2053" s="4" t="inlineStr">
        <is>
          <t xml:space="preserve"> • umiestnenie: na vonkajšie / vnútorné použitie 
 • zdroj svetla: micro LED 
 • počet zdrojov svetla: 110 ks (5x10 ks, 5x12 ks) 
 • farba zdrojov svetla: teplá biela 
 • N/A: stále svetlo 
 • farba kábla: priesvitný 
 • dĺžka: 2,7 m 
 • dĺžka napájacieho kábla: 5 m 
 • ochrana proti vode: IP44 
 • napájanie: sieťový adaptér IP44 na vonkajšie použitie 
 • ďalšie informácie: 10 reťazcov • figúrky vo vnútri vianočného stromčeka: Mikuláš, snehuliak</t>
        </is>
      </c>
    </row>
    <row r="2054">
      <c r="A2054" s="3" t="inlineStr">
        <is>
          <t>KAF 300L 5M</t>
        </is>
      </c>
      <c r="B2054" s="2" t="inlineStr">
        <is>
          <t>LED svetelný záves s cencúľmi, blikajúci, 5m, IP44, 230V</t>
        </is>
      </c>
      <c r="C2054" s="1" t="n">
        <v>45.59</v>
      </c>
      <c r="D2054" s="7" t="n">
        <f>HYPERLINK("https://www.somogyi.sk/product/led-svetelny-zaves-s-cenculmi-blikajuci-5m-ip44-230v-kaf-300l-5m-14727","https://www.somogyi.sk/product/led-svetelny-zaves-s-cenculmi-blikajuci-5m-ip44-230v-kaf-300l-5m-14727")</f>
        <v>0.0</v>
      </c>
      <c r="E2054" s="7" t="n">
        <f>HYPERLINK("https://www.somogyi.sk/data/img/product_main_images/small/14727.jpg","https://www.somogyi.sk/data/img/product_main_images/small/14727.jpg")</f>
        <v>0.0</v>
      </c>
      <c r="F2054" s="2" t="inlineStr">
        <is>
          <t>5999084927691</t>
        </is>
      </c>
      <c r="G2054" s="4" t="inlineStr">
        <is>
          <t xml:space="preserve"> • umiestnenie: vonkajšie / vnútorné použitie 
 • zdroj svetla: LED 
 • počet zdrojov svetla: 300 ks 
 • farba zdrojov svetla: teplá biela 
 • funkcie: v každom druhom reťazci bliká jedna studená biela LED 
 • farba kábla: biela 
 • dĺžka: 5 m 
 • napájanie: 230 V~ (adaptérové) 
 • ďalšie informácie: -</t>
        </is>
      </c>
    </row>
    <row r="2055">
      <c r="A2055" s="3" t="inlineStr">
        <is>
          <t>KAF 600L 10M</t>
        </is>
      </c>
      <c r="B2055" s="2" t="inlineStr">
        <is>
          <t>LED svetelný záves s cencúľmi, blikajúci, 10m, IP44, 230V</t>
        </is>
      </c>
      <c r="C2055" s="1" t="n">
        <v>76.69</v>
      </c>
      <c r="D2055" s="7" t="n">
        <f>HYPERLINK("https://www.somogyi.sk/product/led-svetelny-zaves-s-cenculmi-blikajuci-10m-ip44-230v-kaf-600l-10m-13982","https://www.somogyi.sk/product/led-svetelny-zaves-s-cenculmi-blikajuci-10m-ip44-230v-kaf-600l-10m-13982")</f>
        <v>0.0</v>
      </c>
      <c r="E2055" s="7" t="n">
        <f>HYPERLINK("https://www.somogyi.sk/data/img/product_main_images/small/13982.jpg","https://www.somogyi.sk/data/img/product_main_images/small/13982.jpg")</f>
        <v>0.0</v>
      </c>
      <c r="F2055" s="2" t="inlineStr">
        <is>
          <t>5999084920340</t>
        </is>
      </c>
      <c r="G2055" s="4" t="inlineStr">
        <is>
          <t xml:space="preserve"> • umiestnenie: vonkajšie / vnútorné použitie 
 • zdroj svetla: LED 
 • počet zdrojov svetla: 600 ks 
 • farba zdrojov svetla: teplá biela 
 • funkcie: v každom druhom reťazci bliká jedna studená biela LED 
 • farba kábla: biela 
 • dĺžka: 10 m 
 • napájanie: 230 V~ (adaptérové) 
 • ďalšie informácie: -</t>
        </is>
      </c>
    </row>
    <row r="2056">
      <c r="A2056" s="3" t="inlineStr">
        <is>
          <t>KAF 210LC</t>
        </is>
      </c>
      <c r="B2056" s="2" t="inlineStr">
        <is>
          <t>LED svietiaci záves, na vonkajšie použitie,  2 m x 1 m, 210 ks studených bielych LED</t>
        </is>
      </c>
      <c r="C2056" s="1" t="n">
        <v>28.99</v>
      </c>
      <c r="D2056" s="7" t="n">
        <f>HYPERLINK("https://www.somogyi.sk/product/led-svietiaci-zaves-na-vonkajsie-pouzitie-2-m-x-1-m-210-ks-studenych-bielych-led-kaf-210lc-15570","https://www.somogyi.sk/product/led-svietiaci-zaves-na-vonkajsie-pouzitie-2-m-x-1-m-210-ks-studenych-bielych-led-kaf-210lc-15570")</f>
        <v>0.0</v>
      </c>
      <c r="E2056" s="7" t="n">
        <f>HYPERLINK("https://www.somogyi.sk/data/img/product_main_images/small/15570.jpg","https://www.somogyi.sk/data/img/product_main_images/small/15570.jpg")</f>
        <v>0.0</v>
      </c>
      <c r="F2056" s="2" t="inlineStr">
        <is>
          <t>5999084936044</t>
        </is>
      </c>
      <c r="G2056" s="4" t="inlineStr">
        <is>
          <t xml:space="preserve"> • umiestnenie: na vonkajšie / vnútorné použitie 
 • zdroj svetla: LED 
 • počet zdrojov svetla: 210 ks 
 • farba zdrojov svetla: studená biela 
 • farba kábla: biela 
 • dĺžka: 2 m 
 • napájanie: 230 V~ (adaptér) 
 • ďalšie informácie: balenie: plastový kufrík</t>
        </is>
      </c>
    </row>
    <row r="2057">
      <c r="A2057" s="3" t="inlineStr">
        <is>
          <t>KAF 50C LED/WH</t>
        </is>
      </c>
      <c r="B2057" s="2" t="inlineStr">
        <is>
          <t>LED svetelný záves, cencúľ</t>
        </is>
      </c>
      <c r="C2057" s="1" t="n">
        <v>12.79</v>
      </c>
      <c r="D2057" s="7" t="n">
        <f>HYPERLINK("https://www.somogyi.sk/product/led-svetelny-zaves-cencul-kaf-50c-led-wh-16147","https://www.somogyi.sk/product/led-svetelny-zaves-cencul-kaf-50c-led-wh-16147")</f>
        <v>0.0</v>
      </c>
      <c r="E2057" s="7" t="n">
        <f>HYPERLINK("https://www.somogyi.sk/data/img/product_main_images/small/16147.jpg","https://www.somogyi.sk/data/img/product_main_images/small/16147.jpg")</f>
        <v>0.0</v>
      </c>
      <c r="F2057" s="2" t="inlineStr">
        <is>
          <t>5999084941796</t>
        </is>
      </c>
      <c r="G2057" s="4" t="inlineStr">
        <is>
          <t xml:space="preserve"> • umiestnenie: na vnútorné použitie 
 • zdroj svetla: LED 
 • počet zdrojov svetla: 50 ks 
 • farba zdrojov svetla: studená biela 
 • farba kábla: biela 
 • napájanie: 230~ (adaptér) 
 • ďalšie informácie: 5/4/5/6/5/4/5/6/4/6 reťazce</t>
        </is>
      </c>
    </row>
    <row r="2058">
      <c r="A2058" s="3" t="inlineStr">
        <is>
          <t>KIN 126C/WH</t>
        </is>
      </c>
      <c r="B2058" s="2" t="inlineStr">
        <is>
          <t>LED svetelný záves</t>
        </is>
      </c>
      <c r="C2058" s="1" t="n">
        <v>16.79</v>
      </c>
      <c r="D2058" s="7" t="n">
        <f>HYPERLINK("https://www.somogyi.sk/product/led-svetelny-zaves-kin-126c-wh-15472","https://www.somogyi.sk/product/led-svetelny-zaves-kin-126c-wh-15472")</f>
        <v>0.0</v>
      </c>
      <c r="E2058" s="7" t="n">
        <f>HYPERLINK("https://www.somogyi.sk/data/img/product_main_images/small/15472.jpg","https://www.somogyi.sk/data/img/product_main_images/small/15472.jpg")</f>
        <v>0.0</v>
      </c>
      <c r="F2058" s="2" t="inlineStr">
        <is>
          <t>5999084935061</t>
        </is>
      </c>
      <c r="G2058" s="4" t="inlineStr">
        <is>
          <t xml:space="preserve"> • umiestnenie: na vnútorné použitie 
 • zdroj svetla: LED 
 • počet zdrojov svetla: 126 ks 
 • farba zdrojov svetla: studená biela 
 • farba kábla: biela 
 • dĺžka: 0,9 m 
 • napájanie: 230 V~ (adaptér) 
 • ďalšie informácie: 9 reťazcov, 14 LED na každom reťazci, balenie: plastový kufrík</t>
        </is>
      </c>
    </row>
    <row r="2059">
      <c r="A2059" s="3" t="inlineStr">
        <is>
          <t>KIN 126C/WW</t>
        </is>
      </c>
      <c r="B2059" s="2" t="inlineStr">
        <is>
          <t>LED svetelný záves</t>
        </is>
      </c>
      <c r="C2059" s="1" t="n">
        <v>16.79</v>
      </c>
      <c r="D2059" s="7" t="n">
        <f>HYPERLINK("https://www.somogyi.sk/product/led-svetelny-zaves-kin-126c-ww-15624","https://www.somogyi.sk/product/led-svetelny-zaves-kin-126c-ww-15624")</f>
        <v>0.0</v>
      </c>
      <c r="E2059" s="7" t="n">
        <f>HYPERLINK("https://www.somogyi.sk/data/img/product_main_images/small/15624.jpg","https://www.somogyi.sk/data/img/product_main_images/small/15624.jpg")</f>
        <v>0.0</v>
      </c>
      <c r="F2059" s="2" t="inlineStr">
        <is>
          <t>5999084936587</t>
        </is>
      </c>
      <c r="G2059" s="4" t="inlineStr">
        <is>
          <t xml:space="preserve"> • umiestnenie: na vnútorné použitie 
 • zdroj svetla: LED 
 • počet zdrojov svetla: 126 ks 
 • farba zdrojov svetla: teplá biela 
 • farba kábla: biela 
 • dĺžka: 0,9 m 
 • napájanie: 230 V~ (adaptér) 
 • ďalšie informácie: 9 reťazcov, 14 LED na každom reťazci, balenie: plastový kufrík</t>
        </is>
      </c>
    </row>
    <row r="2060">
      <c r="A2060" s="3" t="inlineStr">
        <is>
          <t>KIN 294C/WH</t>
        </is>
      </c>
      <c r="B2060" s="2" t="inlineStr">
        <is>
          <t>LED svetelný záves</t>
        </is>
      </c>
      <c r="C2060" s="1" t="n">
        <v>31.29</v>
      </c>
      <c r="D2060" s="7" t="n">
        <f>HYPERLINK("https://www.somogyi.sk/product/led-svetelny-zaves-kin-294c-wh-18138","https://www.somogyi.sk/product/led-svetelny-zaves-kin-294c-wh-18138")</f>
        <v>0.0</v>
      </c>
      <c r="E2060" s="7" t="n">
        <f>HYPERLINK("https://www.somogyi.sk/data/img/product_main_images/small/18138.jpg","https://www.somogyi.sk/data/img/product_main_images/small/18138.jpg")</f>
        <v>0.0</v>
      </c>
      <c r="F2060" s="2" t="inlineStr">
        <is>
          <t>5999084961602</t>
        </is>
      </c>
      <c r="G2060" s="4" t="inlineStr">
        <is>
          <t xml:space="preserve"> • umiestnenie: na vonkajšie / vnútorné použitie 
 • zdroj svetla: LED (stále svetlo) 
 • počet zdrojov svetla: 294 
 • farba zdrojov svetla: studená biela 
 • farba kábla: biela 
 • charakteristiky: 21 reťazcov, 14 LED na jednom reťazci • vzdialenosť medzi LED: 10 cm, vzdialenosť medzi reťazcami: 10 cm 
 • rozmery: 2 x 1,4 m 
 • dĺžka napájacieho kábla: 5 m 
 • ochrana proti vode: IP44</t>
        </is>
      </c>
    </row>
    <row r="2061">
      <c r="A2061" s="3" t="inlineStr">
        <is>
          <t>KIN 168C/WH</t>
        </is>
      </c>
      <c r="B2061" s="2" t="inlineStr">
        <is>
          <t>LED svetelný záves</t>
        </is>
      </c>
      <c r="C2061" s="1" t="n">
        <v>20.19</v>
      </c>
      <c r="D2061" s="7" t="n">
        <f>HYPERLINK("https://www.somogyi.sk/product/led-svetelny-zaves-kin-168c-wh-15473","https://www.somogyi.sk/product/led-svetelny-zaves-kin-168c-wh-15473")</f>
        <v>0.0</v>
      </c>
      <c r="E2061" s="7" t="n">
        <f>HYPERLINK("https://www.somogyi.sk/data/img/product_main_images/small/15473.jpg","https://www.somogyi.sk/data/img/product_main_images/small/15473.jpg")</f>
        <v>0.0</v>
      </c>
      <c r="F2061" s="2" t="inlineStr">
        <is>
          <t>5999084935078</t>
        </is>
      </c>
      <c r="G2061" s="4" t="inlineStr">
        <is>
          <t xml:space="preserve"> • umiestnenie: na vnútorné použitie 
 • zdroj svetla: LED 
 • počet zdrojov svetla: 168 ks 
 • farba zdrojov svetla: studená biela 
 • farba kábla: biela 
 • dĺžka: 1,2 m 
 • napájanie: 230 V~ (adaptér) 
 • ďalšie informácie: 12 reťazcov, 14 LED na každom reťazci, balenie: plastový kufrík</t>
        </is>
      </c>
    </row>
    <row r="2062">
      <c r="A2062" s="3" t="inlineStr">
        <is>
          <t>KKF 608/WW</t>
        </is>
      </c>
      <c r="B2062" s="2" t="inlineStr">
        <is>
          <t>LED svietiaci záves cencúľ</t>
        </is>
      </c>
      <c r="C2062" s="1" t="n">
        <v>61.79</v>
      </c>
      <c r="D2062" s="7" t="n">
        <f>HYPERLINK("https://www.somogyi.sk/product/led-svietiaci-zaves-cencul-kkf-608-ww-16965","https://www.somogyi.sk/product/led-svietiaci-zaves-cencul-kkf-608-ww-16965")</f>
        <v>0.0</v>
      </c>
      <c r="E2062" s="7" t="n">
        <f>HYPERLINK("https://www.somogyi.sk/data/img/product_main_images/small/16965.jpg","https://www.somogyi.sk/data/img/product_main_images/small/16965.jpg")</f>
        <v>0.0</v>
      </c>
      <c r="F2062" s="2" t="inlineStr">
        <is>
          <t>5999084949976</t>
        </is>
      </c>
      <c r="G2062" s="4" t="inlineStr">
        <is>
          <t xml:space="preserve"> • umiestnenie: na vonkajšie / vnútorné použitie 
 • zdroj svetla: LED 
 • počet zdrojov svetla: 600 ks 
 • farba zdrojov svetla: teplá biela 
 • funkcie: 8 programov, s pamäťou 
 • farba kábla: biela 
 • dĺžka: 5 + 20 m 
 • napájanie: sieťový adaptér IP44 na vonkajšie použitie 
 • ďalšie informácie: priebežná prevádzka alebo 6h ON/18h OFF časovač</t>
        </is>
      </c>
    </row>
    <row r="2063">
      <c r="A2063" s="3" t="inlineStr">
        <is>
          <t>KKF 158/WH</t>
        </is>
      </c>
      <c r="B2063" s="2" t="inlineStr">
        <is>
          <t>LED svietiaci záves cencúľ</t>
        </is>
      </c>
      <c r="C2063" s="1" t="n">
        <v>23.79</v>
      </c>
      <c r="D2063" s="7" t="n">
        <f>HYPERLINK("https://www.somogyi.sk/product/led-svietiaci-zaves-cencul-kkf-158-wh-16968","https://www.somogyi.sk/product/led-svietiaci-zaves-cencul-kkf-158-wh-16968")</f>
        <v>0.0</v>
      </c>
      <c r="E2063" s="7" t="n">
        <f>HYPERLINK("https://www.somogyi.sk/data/img/product_main_images/small/16968.jpg","https://www.somogyi.sk/data/img/product_main_images/small/16968.jpg")</f>
        <v>0.0</v>
      </c>
      <c r="F2063" s="2" t="inlineStr">
        <is>
          <t>5999084950002</t>
        </is>
      </c>
      <c r="G2063" s="4" t="inlineStr">
        <is>
          <t xml:space="preserve"> • umiestnenie: na vonkajšie / vnútorné použitie 
 • zdroj svetla: LED 
 • počet zdrojov svetla: 150 ks 
 • farba zdrojov svetla: studená biela 
 • funkcie: 8 programov, s pamäťou 
 • farba kábla: biela 
 • dĺžka: 5 + 5 m 
 • napájanie: sieťový adaptér IP44 na vonkajšie použitie 
 • ďalšie informácie: priebežná prevádzka alebo 6h ON/18h OFF časovač</t>
        </is>
      </c>
    </row>
    <row r="2064">
      <c r="A2064" s="3" t="inlineStr">
        <is>
          <t>KAF 50C LED/WW</t>
        </is>
      </c>
      <c r="B2064" s="2" t="inlineStr">
        <is>
          <t>LED svetelný záves, cencúľ</t>
        </is>
      </c>
      <c r="C2064" s="1" t="n">
        <v>12.79</v>
      </c>
      <c r="D2064" s="7" t="n">
        <f>HYPERLINK("https://www.somogyi.sk/product/led-svetelny-zaves-cencul-kaf-50c-led-ww-16148","https://www.somogyi.sk/product/led-svetelny-zaves-cencul-kaf-50c-led-ww-16148")</f>
        <v>0.0</v>
      </c>
      <c r="E2064" s="7" t="n">
        <f>HYPERLINK("https://www.somogyi.sk/data/img/product_main_images/small/16148.jpg","https://www.somogyi.sk/data/img/product_main_images/small/16148.jpg")</f>
        <v>0.0</v>
      </c>
      <c r="F2064" s="2" t="inlineStr">
        <is>
          <t>5999084941802</t>
        </is>
      </c>
      <c r="G2064" s="4" t="inlineStr">
        <is>
          <t xml:space="preserve"> • umiestnenie: na vnútorné použitie 
 • zdroj svetla: LED 
 • počet zdrojov svetla: 50 ks 
 • farba zdrojov svetla: teplá biela 
 • farba kábla: biela 
 • napájanie: 230~ (adaptér) 
 • ďalšie informácie: 5/4/5/6/5/4/5/6/4/6 reťazce</t>
        </is>
      </c>
    </row>
    <row r="2065">
      <c r="A2065" s="3" t="inlineStr">
        <is>
          <t>KIN 294C/WW</t>
        </is>
      </c>
      <c r="B2065" s="2" t="inlineStr">
        <is>
          <t>LED svetelný záves</t>
        </is>
      </c>
      <c r="C2065" s="1" t="n">
        <v>31.29</v>
      </c>
      <c r="D2065" s="7" t="n">
        <f>HYPERLINK("https://www.somogyi.sk/product/led-svetelny-zaves-kin-294c-ww-18139","https://www.somogyi.sk/product/led-svetelny-zaves-kin-294c-ww-18139")</f>
        <v>0.0</v>
      </c>
      <c r="E2065" s="7" t="n">
        <f>HYPERLINK("https://www.somogyi.sk/data/img/product_main_images/small/18139.jpg","https://www.somogyi.sk/data/img/product_main_images/small/18139.jpg")</f>
        <v>0.0</v>
      </c>
      <c r="F2065" s="2" t="inlineStr">
        <is>
          <t>5999084961619</t>
        </is>
      </c>
      <c r="G2065" s="4" t="inlineStr">
        <is>
          <t xml:space="preserve"> • umiestnenie: na vonkajšie / vnútorné použitie 
 • zdroj svetla: LED (stále svetlo) 
 • počet zdrojov svetla: 294 
 • farba zdrojov svetla: teplá biela 
 • farba kábla: biela 
 • charakteristiky: 21 reťazcov, 14 LED na jednom reťazci • vzdialenosť medzi LED: 10 cm, vzdialenosť medzi reťazcami: 10 cm 
 • rozmery: 2 x 1,4 m 
 • dĺžka napájacieho kábla: 5 m 
 • ochrana proti vode: IP44</t>
        </is>
      </c>
    </row>
    <row r="2066">
      <c r="A2066" s="3" t="inlineStr">
        <is>
          <t>KIN 168C/WW</t>
        </is>
      </c>
      <c r="B2066" s="2" t="inlineStr">
        <is>
          <t>LED svetelný záves</t>
        </is>
      </c>
      <c r="C2066" s="1" t="n">
        <v>20.19</v>
      </c>
      <c r="D2066" s="7" t="n">
        <f>HYPERLINK("https://www.somogyi.sk/product/led-svetelny-zaves-kin-168c-ww-15625","https://www.somogyi.sk/product/led-svetelny-zaves-kin-168c-ww-15625")</f>
        <v>0.0</v>
      </c>
      <c r="E2066" s="7" t="n">
        <f>HYPERLINK("https://www.somogyi.sk/data/img/product_main_images/small/15625.jpg","https://www.somogyi.sk/data/img/product_main_images/small/15625.jpg")</f>
        <v>0.0</v>
      </c>
      <c r="F2066" s="2" t="inlineStr">
        <is>
          <t>5999084936594</t>
        </is>
      </c>
      <c r="G2066" s="4" t="inlineStr">
        <is>
          <t xml:space="preserve"> • umiestnenie: na vnútorné použitie 
 • zdroj svetla: LED 
 • počet zdrojov svetla: 168 ks 
 • farba zdrojov svetla: teplá biela 
 • farba kábla: biela 
 • dĺžka: 1,2 m 
 • napájanie: 230 V~ (adaptér) 
 • ďalšie informácie: 12 reťazcov, 14 LED na každom reťazci, balenie: plastový kufrík</t>
        </is>
      </c>
    </row>
    <row r="2067">
      <c r="A2067" s="3" t="inlineStr">
        <is>
          <t>KKF 308/WW</t>
        </is>
      </c>
      <c r="B2067" s="2" t="inlineStr">
        <is>
          <t>LED svietiaci záves cencúľ</t>
        </is>
      </c>
      <c r="C2067" s="1" t="n">
        <v>34.89</v>
      </c>
      <c r="D2067" s="7" t="n">
        <f>HYPERLINK("https://www.somogyi.sk/product/led-svietiaci-zaves-cencul-kkf-308-ww-16961","https://www.somogyi.sk/product/led-svietiaci-zaves-cencul-kkf-308-ww-16961")</f>
        <v>0.0</v>
      </c>
      <c r="E2067" s="7" t="n">
        <f>HYPERLINK("https://www.somogyi.sk/data/img/product_main_images/small/16961.jpg","https://www.somogyi.sk/data/img/product_main_images/small/16961.jpg")</f>
        <v>0.0</v>
      </c>
      <c r="F2067" s="2" t="inlineStr">
        <is>
          <t>5999084949938</t>
        </is>
      </c>
      <c r="G2067" s="4" t="inlineStr">
        <is>
          <t xml:space="preserve"> • umiestnenie: na vonkajšie / vnútorné použitie 
 • zdroj svetla: LED 
 • počet zdrojov svetla: 300 ks 
 • farba zdrojov svetla: teplá biela 
 • funkcie: 8 programov, s pamäťou 
 • farba kábla: biela 
 • dĺžka: 5 + 10 m 
 • napájanie: sieťový adaptér IP44 na vonkajšie použitie 
 • ďalšie informácie: priebežná prevádzka alebo 6h ON/18h OFF časovač</t>
        </is>
      </c>
    </row>
    <row r="2068">
      <c r="A2068" s="3" t="inlineStr">
        <is>
          <t>KKF 308/WH</t>
        </is>
      </c>
      <c r="B2068" s="2" t="inlineStr">
        <is>
          <t>LED svietiaci záves cencúľ</t>
        </is>
      </c>
      <c r="C2068" s="1" t="n">
        <v>34.89</v>
      </c>
      <c r="D2068" s="7" t="n">
        <f>HYPERLINK("https://www.somogyi.sk/product/led-svietiaci-zaves-cencul-kkf-308-wh-16960","https://www.somogyi.sk/product/led-svietiaci-zaves-cencul-kkf-308-wh-16960")</f>
        <v>0.0</v>
      </c>
      <c r="E2068" s="7" t="n">
        <f>HYPERLINK("https://www.somogyi.sk/data/img/product_main_images/small/16960.jpg","https://www.somogyi.sk/data/img/product_main_images/small/16960.jpg")</f>
        <v>0.0</v>
      </c>
      <c r="F2068" s="2" t="inlineStr">
        <is>
          <t>5999084949921</t>
        </is>
      </c>
      <c r="G2068" s="4" t="inlineStr">
        <is>
          <t xml:space="preserve"> • umiestnenie: na vonkajšie / vnútorné použitie 
 • zdroj svetla: LED 
 • počet zdrojov svetla: 300 ks 
 • farba zdrojov svetla: studená biela 
 • funkcie: 8 programov, s pamäťou 
 • farba kábla: biela 
 • dĺžka: 5 + 10 m 
 • napájanie: sieťový adaptér IP44 na vonkajšie použitie 
 • ďalšie informácie: priebežná prevádzka alebo 6h ON/18h OFF časovač</t>
        </is>
      </c>
    </row>
    <row r="2069">
      <c r="A2069" s="3" t="inlineStr">
        <is>
          <t>KKF 908/WH</t>
        </is>
      </c>
      <c r="B2069" s="2" t="inlineStr">
        <is>
          <t>LED svietiaci záves cencúľ</t>
        </is>
      </c>
      <c r="C2069" s="1" t="n">
        <v>87.09</v>
      </c>
      <c r="D2069" s="7" t="n">
        <f>HYPERLINK("https://www.somogyi.sk/product/led-svietiaci-zaves-cencul-kkf-908-wh-16966","https://www.somogyi.sk/product/led-svietiaci-zaves-cencul-kkf-908-wh-16966")</f>
        <v>0.0</v>
      </c>
      <c r="E2069" s="7" t="n">
        <f>HYPERLINK("https://www.somogyi.sk/data/img/product_main_images/small/16966.jpg","https://www.somogyi.sk/data/img/product_main_images/small/16966.jpg")</f>
        <v>0.0</v>
      </c>
      <c r="F2069" s="2" t="inlineStr">
        <is>
          <t>5999084949983</t>
        </is>
      </c>
      <c r="G2069" s="4" t="inlineStr">
        <is>
          <t xml:space="preserve"> • umiestnenie: na vonkajšie / vnútorné použitie 
 • zdroj svetla: LED 
 • počet zdrojov svetla: 900 ks 
 • farba zdrojov svetla: studená biela 
 • funkcie: 8 programov, s pamäťou 
 • farba kábla: biela 
 • dĺžka: 5 + 30 m 
 • napájanie: sieťový adaptér IP44 na vonkajšie použitie 
 • ďalšie informácie: priebežná prevádzka alebo 6h ON/18h OFF časovač</t>
        </is>
      </c>
    </row>
    <row r="2070">
      <c r="A2070" s="3" t="inlineStr">
        <is>
          <t>KKF 608/WH</t>
        </is>
      </c>
      <c r="B2070" s="2" t="inlineStr">
        <is>
          <t>LED svietiaci záves cencúľ</t>
        </is>
      </c>
      <c r="C2070" s="1" t="n">
        <v>61.79</v>
      </c>
      <c r="D2070" s="7" t="n">
        <f>HYPERLINK("https://www.somogyi.sk/product/led-svietiaci-zaves-cencul-kkf-608-wh-16964","https://www.somogyi.sk/product/led-svietiaci-zaves-cencul-kkf-608-wh-16964")</f>
        <v>0.0</v>
      </c>
      <c r="E2070" s="7" t="n">
        <f>HYPERLINK("https://www.somogyi.sk/data/img/product_main_images/small/16964.jpg","https://www.somogyi.sk/data/img/product_main_images/small/16964.jpg")</f>
        <v>0.0</v>
      </c>
      <c r="F2070" s="2" t="inlineStr">
        <is>
          <t>5999084949969</t>
        </is>
      </c>
      <c r="G2070" s="4" t="inlineStr">
        <is>
          <t xml:space="preserve"> • umiestnenie: na vonkajšie / vnútorné použitie 
 • zdroj svetla: LED 
 • počet zdrojov svetla: 600 ks 
 • farba zdrojov svetla: studená biela 
 • funkcie: 8 programov, s pamäťou 
 • farba kábla: biela 
 • dĺžka: 5 + 20 m 
 • napájanie: sieťový adaptér IP44 na vonkajšie použitie 
 • ďalšie informácie: priebežná prevádzka alebo 6h ON/18h OFF časovač</t>
        </is>
      </c>
    </row>
    <row r="2071">
      <c r="A2071" s="3" t="inlineStr">
        <is>
          <t>KKF 158/WW</t>
        </is>
      </c>
      <c r="B2071" s="2" t="inlineStr">
        <is>
          <t>LED svietiaci záves cencúľ</t>
        </is>
      </c>
      <c r="C2071" s="1" t="n">
        <v>23.79</v>
      </c>
      <c r="D2071" s="7" t="n">
        <f>HYPERLINK("https://www.somogyi.sk/product/led-svietiaci-zaves-cencul-kkf-158-ww-16967","https://www.somogyi.sk/product/led-svietiaci-zaves-cencul-kkf-158-ww-16967")</f>
        <v>0.0</v>
      </c>
      <c r="E2071" s="7" t="n">
        <f>HYPERLINK("https://www.somogyi.sk/data/img/product_main_images/small/16967.jpg","https://www.somogyi.sk/data/img/product_main_images/small/16967.jpg")</f>
        <v>0.0</v>
      </c>
      <c r="F2071" s="2" t="inlineStr">
        <is>
          <t>5999084949990</t>
        </is>
      </c>
      <c r="G2071" s="4" t="inlineStr">
        <is>
          <t xml:space="preserve"> • umiestnenie: na vonkajšie / vnútorné použitie 
 • zdroj svetla: LED 
 • počet zdrojov svetla: 150 ks 
 • farba zdrojov svetla: teplá biela 
 • funkcie: 8 programov, s pamäťou 
 • farba kábla: biela 
 • dĺžka: 5 + 5 m 
 • napájanie: sieťový adaptér IP44 na vonkajšie použitie 
 • ďalšie informácie: priebežná prevádzka alebo 6h ON/18h OFF časovač</t>
        </is>
      </c>
    </row>
    <row r="2072">
      <c r="A2072" s="3" t="inlineStr">
        <is>
          <t>KKF 908/WW</t>
        </is>
      </c>
      <c r="B2072" s="2" t="inlineStr">
        <is>
          <t>LED svietiaci záves</t>
        </is>
      </c>
      <c r="C2072" s="1" t="n">
        <v>87.09</v>
      </c>
      <c r="D2072" s="7" t="n">
        <f>HYPERLINK("https://www.somogyi.sk/product/led-svietiaci-zaves-kkf-908-ww-17328","https://www.somogyi.sk/product/led-svietiaci-zaves-kkf-908-ww-17328")</f>
        <v>0.0</v>
      </c>
      <c r="E2072" s="7" t="n">
        <f>HYPERLINK("https://www.somogyi.sk/data/img/product_main_images/small/17328.jpg","https://www.somogyi.sk/data/img/product_main_images/small/17328.jpg")</f>
        <v>0.0</v>
      </c>
      <c r="F2072" s="2" t="inlineStr">
        <is>
          <t>5999084953508</t>
        </is>
      </c>
      <c r="G2072" s="4" t="inlineStr">
        <is>
          <t xml:space="preserve"> • umiestnenie: na vonkajšie / vnútorné použitie 
 • zdroj svetla: LED 
 • počet zdrojov svetla: 900 db 
 • farba zdrojov svetla: teplá biela 
 • funkcie: 8 programov, s pamäťou 
 • farba kábla: biela farba 
 • dĺžka: dĺžka reťazca: 30 m • dĺžka napájacieho kábla: 5 m 
 • napájanie: IP44 sieťový adaptér na vonkajšie použitie (je príslušenstvom)</t>
        </is>
      </c>
    </row>
    <row r="2073">
      <c r="A2073" s="6" t="inlineStr">
        <is>
          <t xml:space="preserve">   Vianočné dekoračné osvetlenie / Svetelný záves s dekoráciou</t>
        </is>
      </c>
      <c r="B2073" s="6" t="inlineStr">
        <is>
          <t/>
        </is>
      </c>
      <c r="C2073" s="6" t="inlineStr">
        <is>
          <t/>
        </is>
      </c>
      <c r="D2073" s="6" t="inlineStr">
        <is>
          <t/>
        </is>
      </c>
      <c r="E2073" s="6" t="inlineStr">
        <is>
          <t/>
        </is>
      </c>
      <c r="F2073" s="6" t="inlineStr">
        <is>
          <t/>
        </is>
      </c>
      <c r="G2073" s="6" t="inlineStr">
        <is>
          <t/>
        </is>
      </c>
    </row>
    <row r="2074">
      <c r="A2074" s="3" t="inlineStr">
        <is>
          <t>KAF 11/WW</t>
        </is>
      </c>
      <c r="B2074" s="2" t="inlineStr">
        <is>
          <t>Micro LED svietiaci záves, 10 figúr, teplé biele LED</t>
        </is>
      </c>
      <c r="C2074" s="1" t="n">
        <v>37.79</v>
      </c>
      <c r="D2074" s="7" t="n">
        <f>HYPERLINK("https://www.somogyi.sk/product/micro-led-svietiaci-zaves-10-figur-teple-biele-led-kaf-11-ww-17545","https://www.somogyi.sk/product/micro-led-svietiaci-zaves-10-figur-teple-biele-led-kaf-11-ww-17545")</f>
        <v>0.0</v>
      </c>
      <c r="E2074" s="7" t="n">
        <f>HYPERLINK("https://www.somogyi.sk/data/img/product_main_images/small/17545.jpg","https://www.somogyi.sk/data/img/product_main_images/small/17545.jpg")</f>
        <v>0.0</v>
      </c>
      <c r="F2074" s="2" t="inlineStr">
        <is>
          <t>5999084955670</t>
        </is>
      </c>
      <c r="G2074" s="4" t="inlineStr">
        <is>
          <t xml:space="preserve"> • umiestnenie: na vonkajšie / vnútorné použitie 
 • zdroj svetla: LED 
 • počet zdrojov svetla: 186 ks 
 • farba zdrojov svetla: teplá biela 
 • farba kábla: priesvitný 
 • dĺžka: svetelný záves: 2 m • napájací kábel: 5 m 
 • napájanie: IP44 sieťový adaptér na vonkajšie použitie (je príslušenstvom) 
 • ďalšie informácie: 10 ks svietiacich reťazcov, zvonček/stromček/hviezda</t>
        </is>
      </c>
    </row>
    <row r="2075">
      <c r="A2075" s="3" t="inlineStr">
        <is>
          <t>KAF 8/F</t>
        </is>
      </c>
      <c r="B2075" s="2" t="inlineStr">
        <is>
          <t>LED svetelný záves, snehová vločka</t>
        </is>
      </c>
      <c r="C2075" s="1" t="n">
        <v>19.49</v>
      </c>
      <c r="D2075" s="7" t="n">
        <f>HYPERLINK("https://www.somogyi.sk/product/led-svetelny-zaves-snehova-vlocka-kaf-8-f-16021","https://www.somogyi.sk/product/led-svetelny-zaves-snehova-vlocka-kaf-8-f-16021")</f>
        <v>0.0</v>
      </c>
      <c r="E2075" s="7" t="n">
        <f>HYPERLINK("https://www.somogyi.sk/data/img/product_main_images/small/16021.jpg","https://www.somogyi.sk/data/img/product_main_images/small/16021.jpg")</f>
        <v>0.0</v>
      </c>
      <c r="F2075" s="2" t="inlineStr">
        <is>
          <t>5999084940539</t>
        </is>
      </c>
      <c r="G2075" s="4" t="inlineStr">
        <is>
          <t xml:space="preserve"> • umiestnenie: na vonkajšie / vnútorné použitie 
 • zdroj svetla: LED 
 • počet zdrojov svetla: 8 ks 
 • farba kábla: transparentný 
 • dĺžka: 0,94 kg 
 • napájanie: 230 V~ (adaptér)</t>
        </is>
      </c>
    </row>
    <row r="2076">
      <c r="A2076" s="3" t="inlineStr">
        <is>
          <t>KAF 50L</t>
        </is>
      </c>
      <c r="B2076" s="2" t="inlineStr">
        <is>
          <t>LED svetelný záves, hviezda 1,35m, 230V</t>
        </is>
      </c>
      <c r="C2076" s="1" t="n">
        <v>26.09</v>
      </c>
      <c r="D2076" s="7" t="n">
        <f>HYPERLINK("https://www.somogyi.sk/product/led-svetelny-zaves-hviezda-1-35m-230v-kaf-50l-11909","https://www.somogyi.sk/product/led-svetelny-zaves-hviezda-1-35m-230v-kaf-50l-11909")</f>
        <v>0.0</v>
      </c>
      <c r="E2076" s="7" t="n">
        <f>HYPERLINK("https://www.somogyi.sk/data/img/product_main_images/small/11909.jpg","https://www.somogyi.sk/data/img/product_main_images/small/11909.jpg")</f>
        <v>0.0</v>
      </c>
      <c r="F2076" s="2" t="inlineStr">
        <is>
          <t>5999084901219</t>
        </is>
      </c>
      <c r="G2076" s="4" t="inlineStr">
        <is>
          <t xml:space="preserve"> • umiestnenie: vnútorné použitie 
 • zdroj svetla: LED 
 • počet zdrojov svetla: 50 ks 
 • farba zdrojov svetla: studená biela 
 • funkcie: v každom reťazci bliká spodná hviezda 
 • farba kábla: biela 
 • dĺžka: 1,35 m 
 • napájanie: 230 V~ (adaptérové)</t>
        </is>
      </c>
    </row>
    <row r="2077">
      <c r="A2077" s="3" t="inlineStr">
        <is>
          <t>KAF 50L/WW</t>
        </is>
      </c>
      <c r="B2077" s="2" t="inlineStr">
        <is>
          <t>LED svietiaci záves hviezda</t>
        </is>
      </c>
      <c r="C2077" s="1" t="n">
        <v>26.09</v>
      </c>
      <c r="D2077" s="7" t="n">
        <f>HYPERLINK("https://www.somogyi.sk/product/led-svietiaci-zaves-hviezda-kaf-50l-ww-17320","https://www.somogyi.sk/product/led-svietiaci-zaves-hviezda-kaf-50l-ww-17320")</f>
        <v>0.0</v>
      </c>
      <c r="E2077" s="7" t="n">
        <f>HYPERLINK("https://www.somogyi.sk/data/img/product_main_images/small/17320.jpg","https://www.somogyi.sk/data/img/product_main_images/small/17320.jpg")</f>
        <v>0.0</v>
      </c>
      <c r="F2077" s="2" t="inlineStr">
        <is>
          <t>5999084953423</t>
        </is>
      </c>
      <c r="G2077" s="4" t="inlineStr">
        <is>
          <t xml:space="preserve"> • umiestnenie: na vnútorné použitie 
 • zdroj svetla: LED 
 • počet zdrojov svetla: 50 ks 
 • farba zdrojov svetla: teplá biela 
 • farba kábla: biela farba 
 • dĺžka: 1,35 m 
 • napájanie: 230 V~ (adaptérový)</t>
        </is>
      </c>
    </row>
    <row r="2078">
      <c r="A2078" s="3" t="inlineStr">
        <is>
          <t>KAF 11/WH</t>
        </is>
      </c>
      <c r="B2078" s="2" t="inlineStr">
        <is>
          <t>Micro LED svietiaci záves, 10 figúrok, studená biela LED</t>
        </is>
      </c>
      <c r="C2078" s="1" t="n">
        <v>37.79</v>
      </c>
      <c r="D2078" s="7" t="n">
        <f>HYPERLINK("https://www.somogyi.sk/product/micro-led-svietiaci-zaves-10-figurok-studena-biela-led-kaf-11-wh-17749","https://www.somogyi.sk/product/micro-led-svietiaci-zaves-10-figurok-studena-biela-led-kaf-11-wh-17749")</f>
        <v>0.0</v>
      </c>
      <c r="E2078" s="7" t="n">
        <f>HYPERLINK("https://www.somogyi.sk/data/img/product_main_images/small/17749.jpg","https://www.somogyi.sk/data/img/product_main_images/small/17749.jpg")</f>
        <v>0.0</v>
      </c>
      <c r="F2078" s="2" t="inlineStr">
        <is>
          <t>5999084957711</t>
        </is>
      </c>
      <c r="G2078" s="4" t="inlineStr">
        <is>
          <t xml:space="preserve"> • umiestnenie: na vonkajšie / vnútorné použitie 
 • zdroj svetla: micro LED 
 • počet zdrojov svetla: 186 ks 
 • farba zdrojov svetla: studená biela 
 • farba kábla: priesvitný 
 • dĺžka: svetelný záves: 2 m • napájací kábel: 5 m 
 • napájanie: IP44 sieťový adaptér na vonkajšie použitie 
 • ďalšie informácie: 10 ks svietiacich reťazcov, zvonček/stromček/hviezda</t>
        </is>
      </c>
    </row>
    <row r="2079">
      <c r="A2079" s="3" t="inlineStr">
        <is>
          <t>KAF 48L</t>
        </is>
      </c>
      <c r="B2079" s="2" t="inlineStr">
        <is>
          <t>LED svetelný záves, hviezda 1,5x1m, 230V</t>
        </is>
      </c>
      <c r="C2079" s="1" t="n">
        <v>20.49</v>
      </c>
      <c r="D2079" s="7" t="n">
        <f>HYPERLINK("https://www.somogyi.sk/product/led-svetelny-zaves-hviezda-1-5x1m-230v-kaf-48l-9851","https://www.somogyi.sk/product/led-svetelny-zaves-hviezda-1-5x1m-230v-kaf-48l-9851")</f>
        <v>0.0</v>
      </c>
      <c r="E2079" s="7" t="n">
        <f>HYPERLINK("https://www.somogyi.sk/data/img/product_main_images/small/09851.jpg","https://www.somogyi.sk/data/img/product_main_images/small/09851.jpg")</f>
        <v>0.0</v>
      </c>
      <c r="F2079" s="2" t="inlineStr">
        <is>
          <t>5998312785737</t>
        </is>
      </c>
      <c r="G2079" s="4" t="inlineStr">
        <is>
          <t xml:space="preserve"> • umiestnenie: vnútorné použitie 
 • zdroj svetla: LED 
 • počet zdrojov svetla: 48 ks 
 • farba zdrojov svetla: studená biela 
 • funkcie: - 
 • farba kábla: priesvitná 
 • dĺžka: 1,5 m 
 • napájanie: 230 V~ (adaptérové) 
 • ďalšie informácie: 5 cm-ové hviezdy</t>
        </is>
      </c>
    </row>
    <row r="2080">
      <c r="A2080" s="3" t="inlineStr">
        <is>
          <t>KAF7WW</t>
        </is>
      </c>
      <c r="B2080" s="2" t="inlineStr">
        <is>
          <t>Svetelný záves, snehové vločky</t>
        </is>
      </c>
      <c r="C2080" s="1" t="n">
        <v>19.79</v>
      </c>
      <c r="D2080" s="7" t="n">
        <f>HYPERLINK("https://www.somogyi.sk/product/svetelny-zaves-snehove-vlocky-kaf7ww-18586","https://www.somogyi.sk/product/svetelny-zaves-snehove-vlocky-kaf7ww-18586")</f>
        <v>0.0</v>
      </c>
      <c r="E2080" s="7" t="n">
        <f>HYPERLINK("https://www.somogyi.sk/data/img/product_main_images/small/18586.jpg","https://www.somogyi.sk/data/img/product_main_images/small/18586.jpg")</f>
        <v>0.0</v>
      </c>
      <c r="F2080" s="2" t="inlineStr">
        <is>
          <t>5999084966041</t>
        </is>
      </c>
      <c r="G2080" s="4" t="inlineStr">
        <is>
          <t xml:space="preserve"> • farba kábla: priesvitný 
 • napájanie: sieťový adaptér IP44 na vonkajšie použitie 
 • ďalšie informácie: so závesnými háčikmi 
 • vonkajšia / vnútorná: na vonkajšie / vnútorné použitie 
 • materiál: akryl 
 • farba LED: teplá biela 
 • počet LED: 7 ks 
 • N/A: stále svetlo 
 • IP stupeň ochrany: IP44 
 • dĺžka napájacieho kábla: 3 m</t>
        </is>
      </c>
    </row>
    <row r="2081">
      <c r="A2081" s="6" t="inlineStr">
        <is>
          <t xml:space="preserve">   Vianočné dekoračné osvetlenie / Sieť</t>
        </is>
      </c>
      <c r="B2081" s="6" t="inlineStr">
        <is>
          <t/>
        </is>
      </c>
      <c r="C2081" s="6" t="inlineStr">
        <is>
          <t/>
        </is>
      </c>
      <c r="D2081" s="6" t="inlineStr">
        <is>
          <t/>
        </is>
      </c>
      <c r="E2081" s="6" t="inlineStr">
        <is>
          <t/>
        </is>
      </c>
      <c r="F2081" s="6" t="inlineStr">
        <is>
          <t/>
        </is>
      </c>
      <c r="G2081" s="6" t="inlineStr">
        <is>
          <t/>
        </is>
      </c>
    </row>
    <row r="2082">
      <c r="A2082" s="3" t="inlineStr">
        <is>
          <t>KLN 240C/WW</t>
        </is>
      </c>
      <c r="B2082" s="2" t="inlineStr">
        <is>
          <t>Svietiaca sieť,  3 x3 m</t>
        </is>
      </c>
      <c r="C2082" s="1" t="n">
        <v>50.29</v>
      </c>
      <c r="D2082" s="7" t="n">
        <f>HYPERLINK("https://www.somogyi.sk/product/svietiaca-siet-3-x3-m-kln-240c-ww-17747","https://www.somogyi.sk/product/svietiaca-siet-3-x3-m-kln-240c-ww-17747")</f>
        <v>0.0</v>
      </c>
      <c r="E2082" s="7" t="n">
        <f>HYPERLINK("https://www.somogyi.sk/data/img/product_main_images/small/17747.jpg","https://www.somogyi.sk/data/img/product_main_images/small/17747.jpg")</f>
        <v>0.0</v>
      </c>
      <c r="F2082" s="2" t="inlineStr">
        <is>
          <t>5999084957698</t>
        </is>
      </c>
      <c r="G2082" s="4" t="inlineStr">
        <is>
          <t xml:space="preserve"> • umiestnenie: na vonkajšie / vnútorné použitie 
 • zdroj svetla: LED 
 • počet zdrojov svetla: 240 ks 
 • farba zdrojov svetla: teplá biela 
 • farba kábla: zelená 
 • napájanie: 230 V~ / 50 Hz (adaptér) 
 • ďalšie informácie: balenie: v plastovom kufríku</t>
        </is>
      </c>
    </row>
    <row r="2083">
      <c r="A2083" s="3" t="inlineStr">
        <is>
          <t>KLN 160C/WH</t>
        </is>
      </c>
      <c r="B2083" s="2" t="inlineStr">
        <is>
          <t>LED sieť na vonkajšie použitie</t>
        </is>
      </c>
      <c r="C2083" s="1" t="n">
        <v>33.29</v>
      </c>
      <c r="D2083" s="7" t="n">
        <f>HYPERLINK("https://www.somogyi.sk/product/led-siet-na-vonkajsie-pouzitie-kln-160c-wh-16089","https://www.somogyi.sk/product/led-siet-na-vonkajsie-pouzitie-kln-160c-wh-16089")</f>
        <v>0.0</v>
      </c>
      <c r="E2083" s="7" t="n">
        <f>HYPERLINK("https://www.somogyi.sk/data/img/product_main_images/small/16089.jpg","https://www.somogyi.sk/data/img/product_main_images/small/16089.jpg")</f>
        <v>0.0</v>
      </c>
      <c r="F2083" s="2" t="inlineStr">
        <is>
          <t>5999084941215</t>
        </is>
      </c>
      <c r="G2083" s="4" t="inlineStr">
        <is>
          <t xml:space="preserve"> • umiestnenie: vonkajší / vnútorný 
 • zdroj svetla: LED 
 • počet zdrojov svetla: 160 ks 
 • farba zdrojov svetla: studená biela 
 • farba kábla: zelený 
 • rozmery: 2 m x 1,5 m 
 • napájanie: 230 V~ (adaptér) 
 • ďalšie informácie: balenie: plastový kufrík</t>
        </is>
      </c>
    </row>
    <row r="2084">
      <c r="A2084" s="3" t="inlineStr">
        <is>
          <t>KLN 400C/WH</t>
        </is>
      </c>
      <c r="B2084" s="2" t="inlineStr">
        <is>
          <t>LED svietiaca sieť</t>
        </is>
      </c>
      <c r="C2084" s="1" t="n">
        <v>106.9</v>
      </c>
      <c r="D2084" s="7" t="n">
        <f>HYPERLINK("https://www.somogyi.sk/product/led-svietiaca-siet-kln-400c-wh-15588","https://www.somogyi.sk/product/led-svietiaca-siet-kln-400c-wh-15588")</f>
        <v>0.0</v>
      </c>
      <c r="E2084" s="7" t="n">
        <f>HYPERLINK("https://www.somogyi.sk/data/img/product_main_images/small/15588.jpg","https://www.somogyi.sk/data/img/product_main_images/small/15588.jpg")</f>
        <v>0.0</v>
      </c>
      <c r="F2084" s="2" t="inlineStr">
        <is>
          <t>5999084936228</t>
        </is>
      </c>
      <c r="G2084" s="4" t="inlineStr">
        <is>
          <t xml:space="preserve"> • umiestnenie: na vonkajšie / vnútorné použitie 
 • zdroj svetla: LED 
 • počet zdrojov svetla: 400 ks 
 • farba zdrojov svetla: studená biela 
 • farba kábla: zelená 
 • rozmery: 6 m x 4 m 
 • napájanie: 230 V~ (adaptér) 
 • ďalšie informácie: balenie: plastový kufrík</t>
        </is>
      </c>
    </row>
    <row r="2085">
      <c r="A2085" s="3" t="inlineStr">
        <is>
          <t>KLN 240C/WH</t>
        </is>
      </c>
      <c r="B2085" s="2" t="inlineStr">
        <is>
          <t>LED svietiaca sieť</t>
        </is>
      </c>
      <c r="C2085" s="1" t="n">
        <v>50.29</v>
      </c>
      <c r="D2085" s="7" t="n">
        <f>HYPERLINK("https://www.somogyi.sk/product/led-svietiaca-siet-kln-240c-wh-15587","https://www.somogyi.sk/product/led-svietiaca-siet-kln-240c-wh-15587")</f>
        <v>0.0</v>
      </c>
      <c r="E2085" s="7" t="n">
        <f>HYPERLINK("https://www.somogyi.sk/data/img/product_main_images/small/15587.jpg","https://www.somogyi.sk/data/img/product_main_images/small/15587.jpg")</f>
        <v>0.0</v>
      </c>
      <c r="F2085" s="2" t="inlineStr">
        <is>
          <t>5999084936211</t>
        </is>
      </c>
      <c r="G2085" s="4" t="inlineStr">
        <is>
          <t xml:space="preserve"> • umiestnenie: na vonkajšie / vnútorné použitie 
 • zdroj svetla: LED 
 • počet zdrojov svetla: 240 ks 
 • farba zdrojov svetla: studená biela 
 • farba kábla: zelená 
 • rozmery: 3 m x 3 m 
 • napájanie: 230 V~ (adaptér) 
 • ďalšie informácie: balenie: plastový kufrík</t>
        </is>
      </c>
    </row>
    <row r="2086">
      <c r="A2086" s="6" t="inlineStr">
        <is>
          <t xml:space="preserve">   Vianočné dekoračné osvetlenie / Spojovateľné reťazce</t>
        </is>
      </c>
      <c r="B2086" s="6" t="inlineStr">
        <is>
          <t/>
        </is>
      </c>
      <c r="C2086" s="6" t="inlineStr">
        <is>
          <t/>
        </is>
      </c>
      <c r="D2086" s="6" t="inlineStr">
        <is>
          <t/>
        </is>
      </c>
      <c r="E2086" s="6" t="inlineStr">
        <is>
          <t/>
        </is>
      </c>
      <c r="F2086" s="6" t="inlineStr">
        <is>
          <t/>
        </is>
      </c>
      <c r="G2086" s="6" t="inlineStr">
        <is>
          <t/>
        </is>
      </c>
    </row>
    <row r="2087">
      <c r="A2087" s="3" t="inlineStr">
        <is>
          <t>KSI 100/WH</t>
        </is>
      </c>
      <c r="B2087" s="2" t="inlineStr">
        <is>
          <t>Spojovateľný svietiaci reťazec, 100 LED, biela, na vonkajšie použitie</t>
        </is>
      </c>
      <c r="C2087" s="1" t="n">
        <v>33.69</v>
      </c>
      <c r="D2087" s="7" t="n">
        <f>HYPERLINK("https://www.somogyi.sk/product/spojovatelny-svietiaci-retazec-100-led-biela-na-vonkajsie-pouzitie-ksi-100-wh-16471","https://www.somogyi.sk/product/spojovatelny-svietiaci-retazec-100-led-biela-na-vonkajsie-pouzitie-ksi-100-wh-16471")</f>
        <v>0.0</v>
      </c>
      <c r="E2087" s="7" t="n">
        <f>HYPERLINK("https://www.somogyi.sk/data/img/product_main_images/small/16471.jpg","https://www.somogyi.sk/data/img/product_main_images/small/16471.jpg")</f>
        <v>0.0</v>
      </c>
      <c r="F2087" s="2" t="inlineStr">
        <is>
          <t>5999084945039</t>
        </is>
      </c>
      <c r="G2087" s="4" t="inlineStr">
        <is>
          <t xml:space="preserve"> • umiestnenie: na vonkajšie / vnútorné použitie 
 • zdroj svetla: LED 
 • počet zdrojov svetla: 100 ks 
 • farba zdrojov svetla: studená biela 
 • farba kábla: čierna 
 • dĺžka: 10 m 
 • napájanie: 230 V~ / 50 Hz 
 • ďalšie informácie: na jednu sieťovú prípojku je možné prevádzkovať maximálne 1 500 LED • dĺžka svietiaceho systému zloženej z rôznych prvkov môže byť maximálne 100 m</t>
        </is>
      </c>
    </row>
    <row r="2088">
      <c r="A2088" s="3" t="inlineStr">
        <is>
          <t>KSH 5</t>
        </is>
      </c>
      <c r="B2088" s="2" t="inlineStr">
        <is>
          <t>Sieťový napájací kábel, 5 m</t>
        </is>
      </c>
      <c r="C2088" s="1" t="n">
        <v>11.19</v>
      </c>
      <c r="D2088" s="7" t="n">
        <f>HYPERLINK("https://www.somogyi.sk/product/sietovy-napajaci-kabel-5-m-ksh-5-16472","https://www.somogyi.sk/product/sietovy-napajaci-kabel-5-m-ksh-5-16472")</f>
        <v>0.0</v>
      </c>
      <c r="E2088" s="7" t="n">
        <f>HYPERLINK("https://www.somogyi.sk/data/img/product_main_images/small/16472.jpg","https://www.somogyi.sk/data/img/product_main_images/small/16472.jpg")</f>
        <v>0.0</v>
      </c>
      <c r="F2088" s="2" t="inlineStr">
        <is>
          <t>5999084945046</t>
        </is>
      </c>
      <c r="G2088" s="4" t="inlineStr">
        <is>
          <t xml:space="preserve"> • umiestnenie: na vonkajšie / vnútorné použitie 
 • farba kábla: čierna 
 • dĺžka: 5 m 
 • kompatibilita: s výrobkami KSF, KSI, KSH, KTF,KTI, KTH KTT 
 • ďalšie informácie: S jedným sieťovým káblom sa dá pripojiť max. 1500 ks LED!</t>
        </is>
      </c>
    </row>
    <row r="2089">
      <c r="A2089" s="3" t="inlineStr">
        <is>
          <t>KTT 5</t>
        </is>
      </c>
      <c r="B2089" s="2" t="inlineStr">
        <is>
          <t>Predlžovací kábel k výrobkom KTI/KTF/KTH, 5m, IP44</t>
        </is>
      </c>
      <c r="C2089" s="1" t="n">
        <v>9.19</v>
      </c>
      <c r="D2089" s="7" t="n">
        <f>HYPERLINK("https://www.somogyi.sk/product/predlzovaci-kabel-k-vyrobkom-kti-ktf-kth-5m-ip44-ktt-5-9022","https://www.somogyi.sk/product/predlzovaci-kabel-k-vyrobkom-kti-ktf-kth-5m-ip44-ktt-5-9022")</f>
        <v>0.0</v>
      </c>
      <c r="E2089" s="7" t="n">
        <f>HYPERLINK("https://www.somogyi.sk/data/img/product_main_images/small/09022.jpg","https://www.somogyi.sk/data/img/product_main_images/small/09022.jpg")</f>
        <v>0.0</v>
      </c>
      <c r="F2089" s="2" t="inlineStr">
        <is>
          <t>5998312779026</t>
        </is>
      </c>
      <c r="G2089" s="4" t="inlineStr">
        <is>
          <t xml:space="preserve"> • umiestnenie: vonkajšie / vnútorné použitie 
 • zdroj svetla: - 
 • počet zdrojov svetla: - 
 • farba zdrojov svetla: - 
 • farba kábla: čierna 
 • dĺžka: 5 m 
 • kompatibilita: s výrobkami KSF, KSI, KSH, KTF,KTI, KTH KTT 
 • napájanie: - 
 • ďalšie informácie: -</t>
        </is>
      </c>
    </row>
    <row r="2090">
      <c r="A2090" s="3" t="inlineStr">
        <is>
          <t>KSF 200/WH</t>
        </is>
      </c>
      <c r="B2090" s="2" t="inlineStr">
        <is>
          <t>Spojovateľný svetelný záves, 200 LED, biela, na vonkajšie použitie</t>
        </is>
      </c>
      <c r="C2090" s="1" t="n">
        <v>71.99</v>
      </c>
      <c r="D2090" s="7" t="n">
        <f>HYPERLINK("https://www.somogyi.sk/product/spojovatelny-svetelny-zaves-200-led-biela-na-vonkajsie-pouzitie-ksf-200-wh-16466","https://www.somogyi.sk/product/spojovatelny-svetelny-zaves-200-led-biela-na-vonkajsie-pouzitie-ksf-200-wh-16466")</f>
        <v>0.0</v>
      </c>
      <c r="E2090" s="7" t="n">
        <f>HYPERLINK("https://www.somogyi.sk/data/img/product_main_images/small/16466.jpg","https://www.somogyi.sk/data/img/product_main_images/small/16466.jpg")</f>
        <v>0.0</v>
      </c>
      <c r="F2090" s="2" t="inlineStr">
        <is>
          <t>5999084944988</t>
        </is>
      </c>
      <c r="G2090" s="4" t="inlineStr">
        <is>
          <t xml:space="preserve"> • umiestnenie: na vonkajšie / vnútorné použitie 
 • zdroj svetla: LED 
 • počet zdrojov svetla: 200 ks 
 • farba zdrojov svetla: studená biela 
 • farba kábla: čierna 
 • dĺžka: 4 m 
 • kompatibilita: s výrobkami KSF, KSI, KSH, KTH KTT 
 • napájanie: 230 V~ 
 • ďalšie informácie: S jedným sieťovým pripojením sa dá pripojiť max. 1500 ks LED! 
 • Na sieťové pripojenie je potrebné dokúpiť KSH 5 alebo KSH 2!</t>
        </is>
      </c>
    </row>
    <row r="2091">
      <c r="A2091" s="3" t="inlineStr">
        <is>
          <t>KSF 200/WW</t>
        </is>
      </c>
      <c r="B2091" s="2" t="inlineStr">
        <is>
          <t>Spojovateľný svetelný záves, 200 LED, teplá biela, na vonkajšie použitie</t>
        </is>
      </c>
      <c r="C2091" s="1" t="n">
        <v>71.99</v>
      </c>
      <c r="D2091" s="7" t="n">
        <f>HYPERLINK("https://www.somogyi.sk/product/spojovatelny-svetelny-zaves-200-led-tepla-biela-na-vonkajsie-pouzitie-ksf-200-ww-16467","https://www.somogyi.sk/product/spojovatelny-svetelny-zaves-200-led-tepla-biela-na-vonkajsie-pouzitie-ksf-200-ww-16467")</f>
        <v>0.0</v>
      </c>
      <c r="E2091" s="7" t="n">
        <f>HYPERLINK("https://www.somogyi.sk/data/img/product_main_images/small/16467.jpg","https://www.somogyi.sk/data/img/product_main_images/small/16467.jpg")</f>
        <v>0.0</v>
      </c>
      <c r="F2091" s="2" t="inlineStr">
        <is>
          <t>5999084944995</t>
        </is>
      </c>
      <c r="G2091" s="4" t="inlineStr">
        <is>
          <t xml:space="preserve"> • umiestnenie: na vonkajšie / vnútorné použitie 
 • zdroj svetla: LED 
 • počet zdrojov svetla: 200 ks 
 • farba zdrojov svetla: teplá biela 
 • farba kábla: čierna 
 • dĺžka: 4 m 
 • kompatibilita: s výrobkami KSF, KSI, KSH, KTH KTT 
 • napájanie: 230 V~ 
 • ďalšie informácie: S jedným sieťovým pripojením sa dá pripojiť max. 1500 ks LED! 
 • Na sieťové pripojenie je potrebné dokúpiť KSH 5 alebo KSH 2!</t>
        </is>
      </c>
    </row>
    <row r="2092">
      <c r="A2092" s="3" t="inlineStr">
        <is>
          <t>KTT</t>
        </is>
      </c>
      <c r="B2092" s="2" t="inlineStr">
        <is>
          <t>T-rozbočka k výrobkom  KTI/KTF/KTH, IP44</t>
        </is>
      </c>
      <c r="C2092" s="1" t="n">
        <v>4.59</v>
      </c>
      <c r="D2092" s="7" t="n">
        <f>HYPERLINK("https://www.somogyi.sk/product/t-rozbocka-k-vyrobkom-kti-ktf-kth-ip44-ktt-9021","https://www.somogyi.sk/product/t-rozbocka-k-vyrobkom-kti-ktf-kth-ip44-ktt-9021")</f>
        <v>0.0</v>
      </c>
      <c r="E2092" s="7" t="n">
        <f>HYPERLINK("https://www.somogyi.sk/data/img/product_main_images/small/09021.jpg","https://www.somogyi.sk/data/img/product_main_images/small/09021.jpg")</f>
        <v>0.0</v>
      </c>
      <c r="F2092" s="2" t="inlineStr">
        <is>
          <t>5998312779019</t>
        </is>
      </c>
      <c r="G2092" s="4" t="inlineStr">
        <is>
          <t xml:space="preserve"> • umiestnenie: vonkajšie / vnútorné použitie 
 • zdroj svetla: - 
 • počet zdrojov svetla: - 
 • farba zdrojov svetla: - 
 • farba kábla: čierna 
 • dĺžka: - 
 • kompatibilita: s výrobkami KSF, KSI, KSH, KTF,KTI, KTH KTT 
 • napájanie: - 
 • ďalšie informácie: -</t>
        </is>
      </c>
    </row>
    <row r="2093">
      <c r="A2093" s="6" t="inlineStr">
        <is>
          <t xml:space="preserve">   Vianočné dekoračné osvetlenie / Dekoračná rastlina</t>
        </is>
      </c>
      <c r="B2093" s="6" t="inlineStr">
        <is>
          <t/>
        </is>
      </c>
      <c r="C2093" s="6" t="inlineStr">
        <is>
          <t/>
        </is>
      </c>
      <c r="D2093" s="6" t="inlineStr">
        <is>
          <t/>
        </is>
      </c>
      <c r="E2093" s="6" t="inlineStr">
        <is>
          <t/>
        </is>
      </c>
      <c r="F2093" s="6" t="inlineStr">
        <is>
          <t/>
        </is>
      </c>
      <c r="G2093" s="6" t="inlineStr">
        <is>
          <t/>
        </is>
      </c>
    </row>
    <row r="2094">
      <c r="A2094" s="3" t="inlineStr">
        <is>
          <t>KMF 6/240</t>
        </is>
      </c>
      <c r="B2094" s="2" t="inlineStr">
        <is>
          <t>Umelý vianočný stromček s integrovaným LED osvetlením, 240 cm</t>
        </is>
      </c>
      <c r="C2094" s="1" t="n">
        <v>303.9</v>
      </c>
      <c r="D2094" s="7" t="n">
        <f>HYPERLINK("https://www.somogyi.sk/product/umely-vianocny-stromcek-s-integrovanym-led-osvetlenim-240-cm-kmf-6-240-16526","https://www.somogyi.sk/product/umely-vianocny-stromcek-s-integrovanym-led-osvetlenim-240-cm-kmf-6-240-16526")</f>
        <v>0.0</v>
      </c>
      <c r="E2094" s="7" t="n">
        <f>HYPERLINK("https://www.somogyi.sk/data/img/product_main_images/small/16526.jpg","https://www.somogyi.sk/data/img/product_main_images/small/16526.jpg")</f>
        <v>0.0</v>
      </c>
      <c r="F2094" s="2" t="inlineStr">
        <is>
          <t>5999084945589</t>
        </is>
      </c>
      <c r="G2094" s="4" t="inlineStr">
        <is>
          <t xml:space="preserve"> • umiestnenie: na vnútorné použitie 
 • zdroj svetla: LED 
 • počet zdrojov svetla: 650 ks 
 • farba zdrojov svetla: dvojfarebná 
 • charakteristiky: 3D   2D zmiešané ihličie 
 • výška: 2,4 m 
 • napájanie: sieťový adaptér na vnútorné použitie 
 • ďalšie informácie: 3D   2D zmiešané ihličie</t>
        </is>
      </c>
    </row>
    <row r="2095">
      <c r="A2095" s="3" t="inlineStr">
        <is>
          <t>CBT 200</t>
        </is>
      </c>
      <c r="B2095" s="2" t="inlineStr">
        <is>
          <t>LED dekorácia kvitnúca čerešňa, 1,5 m, 230V</t>
        </is>
      </c>
      <c r="C2095" s="1" t="n">
        <v>81.99</v>
      </c>
      <c r="D2095" s="7" t="n">
        <f>HYPERLINK("https://www.somogyi.sk/product/led-dekoracia-kvitnuca-ceresna-1-5-m-230v-cbt-200-13964","https://www.somogyi.sk/product/led-dekoracia-kvitnuca-ceresna-1-5-m-230v-cbt-200-13964")</f>
        <v>0.0</v>
      </c>
      <c r="E2095" s="7" t="n">
        <f>HYPERLINK("https://www.somogyi.sk/data/img/product_main_images/small/13964.jpg","https://www.somogyi.sk/data/img/product_main_images/small/13964.jpg")</f>
        <v>0.0</v>
      </c>
      <c r="F2095" s="2" t="inlineStr">
        <is>
          <t>5999084920166</t>
        </is>
      </c>
      <c r="G2095" s="4" t="inlineStr">
        <is>
          <t xml:space="preserve"> • umiestnenie: vonkajšie / vnútorné použitie 
 • zdroj svetla: LED 
 • počet zdrojov svetla: 200 ks 
 • farba zdrojov svetla: teplá biela 
 • výška: 1,5 m 
 • napájanie: 230 V~ (adaptérové) 
 • ďalšie informácie: odskrutkovateľný kovový podstavec (Ø17 cm)</t>
        </is>
      </c>
    </row>
    <row r="2096">
      <c r="A2096" s="3" t="inlineStr">
        <is>
          <t>CBT 320</t>
        </is>
      </c>
      <c r="B2096" s="2" t="inlineStr">
        <is>
          <t>LED dekorácia kvitnúca čerešňa, 2 m, 230V</t>
        </is>
      </c>
      <c r="C2096" s="1" t="n">
        <v>108.9</v>
      </c>
      <c r="D2096" s="7" t="n">
        <f>HYPERLINK("https://www.somogyi.sk/product/led-dekoracia-kvitnuca-ceresna-2-m-230v-cbt-320-11965","https://www.somogyi.sk/product/led-dekoracia-kvitnuca-ceresna-2-m-230v-cbt-320-11965")</f>
        <v>0.0</v>
      </c>
      <c r="E2096" s="7" t="n">
        <f>HYPERLINK("https://www.somogyi.sk/data/img/product_main_images/small/11965.jpg","https://www.somogyi.sk/data/img/product_main_images/small/11965.jpg")</f>
        <v>0.0</v>
      </c>
      <c r="F2096" s="2" t="inlineStr">
        <is>
          <t>5999084901776</t>
        </is>
      </c>
      <c r="G2096" s="4" t="inlineStr">
        <is>
          <t xml:space="preserve"> • umiestnenie: vonkajšie / vnútorné použitie 
 • zdroj svetla: LED 
 • počet zdrojov svetla: 320 ks 
 • farba zdrojov svetla: teplá biela 
 • výška: 2 m 
 • napájanie: 230 V~ (adaptérové) 
 • ďalšie informácie: vetvy nastaviteľné podľa vlastného vkusu</t>
        </is>
      </c>
    </row>
    <row r="2097">
      <c r="A2097" s="3" t="inlineStr">
        <is>
          <t>KMF 7/150</t>
        </is>
      </c>
      <c r="B2097" s="2" t="inlineStr">
        <is>
          <t>Umelý vianočný stromček, so zabud. LED, 150 cm</t>
        </is>
      </c>
      <c r="C2097" s="1" t="n">
        <v>59.19</v>
      </c>
      <c r="D2097" s="7" t="n">
        <f>HYPERLINK("https://www.somogyi.sk/product/umely-vianocny-stromcek-so-zabud-led-150-cm-kmf-7-150-17509","https://www.somogyi.sk/product/umely-vianocny-stromcek-so-zabud-led-150-cm-kmf-7-150-17509")</f>
        <v>0.0</v>
      </c>
      <c r="E2097" s="7" t="n">
        <f>HYPERLINK("https://www.somogyi.sk/data/img/product_main_images/small/17509.jpg","https://www.somogyi.sk/data/img/product_main_images/small/17509.jpg")</f>
        <v>0.0</v>
      </c>
      <c r="F2097" s="2" t="inlineStr">
        <is>
          <t>5999084955311</t>
        </is>
      </c>
      <c r="G2097" s="4" t="inlineStr">
        <is>
          <t xml:space="preserve"> • umiestnenie: na vnútorné použitie 
 • zdroj svetla: LED 
 • počet zdrojov svetla: 180 ks 
 • farba zdrojov svetla: teplá biela 
 • výška: 1,5 m 
 • napájanie: vnútorný sieťový adaptér</t>
        </is>
      </c>
    </row>
    <row r="2098">
      <c r="A2098" s="3" t="inlineStr">
        <is>
          <t>KMF 4/240</t>
        </is>
      </c>
      <c r="B2098" s="2" t="inlineStr">
        <is>
          <t>Umelý vianočný stromček, 240 cm</t>
        </is>
      </c>
      <c r="C2098" s="1" t="n">
        <v>407.9</v>
      </c>
      <c r="D2098" s="7" t="n">
        <f>HYPERLINK("https://www.somogyi.sk/product/umely-vianocny-stromcek-240-cm-kmf-4-240-16083","https://www.somogyi.sk/product/umely-vianocny-stromcek-240-cm-kmf-4-240-16083")</f>
        <v>0.0</v>
      </c>
      <c r="E2098" s="7" t="n">
        <f>HYPERLINK("https://www.somogyi.sk/data/img/product_main_images/small/16083.jpg","https://www.somogyi.sk/data/img/product_main_images/small/16083.jpg")</f>
        <v>0.0</v>
      </c>
      <c r="F2098" s="2" t="inlineStr">
        <is>
          <t>5999084941154</t>
        </is>
      </c>
      <c r="G2098" s="4" t="inlineStr">
        <is>
          <t xml:space="preserve"> • umiestnenie: na vnútorné použitie 
 • charakteristiky: 3D   2D ihličie / 4498 vetvičiek / najväčší priemer 152 cm / kovová základňa / materiál: PE   PVC 
 • výška: 2,4 m</t>
        </is>
      </c>
    </row>
    <row r="2099">
      <c r="A2099" s="3" t="inlineStr">
        <is>
          <t>KMF 4/210</t>
        </is>
      </c>
      <c r="B2099" s="2" t="inlineStr">
        <is>
          <t>Umelý vianočný stromček, 210 cm</t>
        </is>
      </c>
      <c r="C2099" s="1" t="n">
        <v>291.9</v>
      </c>
      <c r="D2099" s="7" t="n">
        <f>HYPERLINK("https://www.somogyi.sk/product/umely-vianocny-stromcek-210-cm-kmf-4-210-16082","https://www.somogyi.sk/product/umely-vianocny-stromcek-210-cm-kmf-4-210-16082")</f>
        <v>0.0</v>
      </c>
      <c r="E2099" s="7" t="n">
        <f>HYPERLINK("https://www.somogyi.sk/data/img/product_main_images/small/16082.jpg","https://www.somogyi.sk/data/img/product_main_images/small/16082.jpg")</f>
        <v>0.0</v>
      </c>
      <c r="F2099" s="2" t="inlineStr">
        <is>
          <t>5999084941147</t>
        </is>
      </c>
      <c r="G2099" s="4" t="inlineStr">
        <is>
          <t xml:space="preserve"> • umiestnenie: na vnútorné použitie 
 • charakteristiky: 3D   2D ihličie / 3068 vetvičiek / najväčší priemer 142 cm / kovová základňa / materiál: PE   PVC 
 • výška: 2,1 m</t>
        </is>
      </c>
    </row>
    <row r="2100">
      <c r="A2100" s="3" t="inlineStr">
        <is>
          <t>KMF 4/180</t>
        </is>
      </c>
      <c r="B2100" s="2" t="inlineStr">
        <is>
          <t>Umelý vianočný stromček, 180 cm</t>
        </is>
      </c>
      <c r="C2100" s="1" t="n">
        <v>208.9</v>
      </c>
      <c r="D2100" s="7" t="n">
        <f>HYPERLINK("https://www.somogyi.sk/product/umely-vianocny-stromcek-180-cm-kmf-4-180-16081","https://www.somogyi.sk/product/umely-vianocny-stromcek-180-cm-kmf-4-180-16081")</f>
        <v>0.0</v>
      </c>
      <c r="E2100" s="7" t="n">
        <f>HYPERLINK("https://www.somogyi.sk/data/img/product_main_images/small/16081.jpg","https://www.somogyi.sk/data/img/product_main_images/small/16081.jpg")</f>
        <v>0.0</v>
      </c>
      <c r="F2100" s="2" t="inlineStr">
        <is>
          <t>5999084941130</t>
        </is>
      </c>
      <c r="G2100" s="4" t="inlineStr">
        <is>
          <t xml:space="preserve"> • umiestnenie: na vnútorné použitie 
 • charakteristiky: 3D   2D ihličie / 2168 vetvičiek / najväčší priemer 122 cm / kovová základňa / materiál: PE   PVC 
 • výška: 1,8 m</t>
        </is>
      </c>
    </row>
    <row r="2101">
      <c r="A2101" s="3" t="inlineStr">
        <is>
          <t>KMF 4/150</t>
        </is>
      </c>
      <c r="B2101" s="2" t="inlineStr">
        <is>
          <t>Umelý vianočný stromček, 150 cm</t>
        </is>
      </c>
      <c r="C2101" s="1" t="n">
        <v>143.9</v>
      </c>
      <c r="D2101" s="7" t="n">
        <f>HYPERLINK("https://www.somogyi.sk/product/umely-vianocny-stromcek-150-cm-kmf-4-150-16080","https://www.somogyi.sk/product/umely-vianocny-stromcek-150-cm-kmf-4-150-16080")</f>
        <v>0.0</v>
      </c>
      <c r="E2101" s="7" t="n">
        <f>HYPERLINK("https://www.somogyi.sk/data/img/product_main_images/small/16080.jpg","https://www.somogyi.sk/data/img/product_main_images/small/16080.jpg")</f>
        <v>0.0</v>
      </c>
      <c r="F2101" s="2" t="inlineStr">
        <is>
          <t>5999084941123</t>
        </is>
      </c>
      <c r="G2101" s="4" t="inlineStr">
        <is>
          <t xml:space="preserve"> • umiestnenie: na vnútorné použitie 
 • charakteristiky: 3D   2D ihličie / 1584 vetvičiek / najväčší priemer 106 cm / kovová základňa / materiál: PE   PVC 
 • výška: 1,5 m 
 • ďalšie informácie: 3D 2D ihličie / 1584 vetvičiek / najväčší priemer 106 cm / kovový podstavec / materiál: PE   PVC</t>
        </is>
      </c>
    </row>
    <row r="2102">
      <c r="A2102" s="3" t="inlineStr">
        <is>
          <t>KMF 6/150</t>
        </is>
      </c>
      <c r="B2102" s="2" t="inlineStr">
        <is>
          <t>Umelý vianočný stromček s integrovaným LED osvetlením, 150 cm</t>
        </is>
      </c>
      <c r="C2102" s="1" t="n">
        <v>125.9</v>
      </c>
      <c r="D2102" s="7" t="n">
        <f>HYPERLINK("https://www.somogyi.sk/product/umely-vianocny-stromcek-s-integrovanym-led-osvetlenim-150-cm-kmf-6-150-16523","https://www.somogyi.sk/product/umely-vianocny-stromcek-s-integrovanym-led-osvetlenim-150-cm-kmf-6-150-16523")</f>
        <v>0.0</v>
      </c>
      <c r="E2102" s="7" t="n">
        <f>HYPERLINK("https://www.somogyi.sk/data/img/product_main_images/small/16523.jpg","https://www.somogyi.sk/data/img/product_main_images/small/16523.jpg")</f>
        <v>0.0</v>
      </c>
      <c r="F2102" s="2" t="inlineStr">
        <is>
          <t>5999084945558</t>
        </is>
      </c>
      <c r="G2102" s="4" t="inlineStr">
        <is>
          <t xml:space="preserve"> • umiestnenie: na vnútorné použitie 
 • zdroj svetla: LED 
 • počet zdrojov svetla: 250 ks 
 • farba zdrojov svetla: dvojfarebná 
 • charakteristiky: 3D   2D zmiešané ihličie 
 • výška: 1,5 m 
 • napájanie: sieťový adaptér na vnútorné použitie</t>
        </is>
      </c>
    </row>
    <row r="2103">
      <c r="A2103" s="3" t="inlineStr">
        <is>
          <t>KMF 6/210</t>
        </is>
      </c>
      <c r="B2103" s="2" t="inlineStr">
        <is>
          <t>Umelý vianočný stromček s integrovaným LED osvetlením, 210 cm</t>
        </is>
      </c>
      <c r="C2103" s="1" t="n">
        <v>227.9</v>
      </c>
      <c r="D2103" s="7" t="n">
        <f>HYPERLINK("https://www.somogyi.sk/product/umely-vianocny-stromcek-s-integrovanym-led-osvetlenim-210-cm-kmf-6-210-16525","https://www.somogyi.sk/product/umely-vianocny-stromcek-s-integrovanym-led-osvetlenim-210-cm-kmf-6-210-16525")</f>
        <v>0.0</v>
      </c>
      <c r="E2103" s="7" t="n">
        <f>HYPERLINK("https://www.somogyi.sk/data/img/product_main_images/small/16525.jpg","https://www.somogyi.sk/data/img/product_main_images/small/16525.jpg")</f>
        <v>0.0</v>
      </c>
      <c r="F2103" s="2" t="inlineStr">
        <is>
          <t>5999084945572</t>
        </is>
      </c>
      <c r="G2103" s="4" t="inlineStr">
        <is>
          <t xml:space="preserve"> • umiestnenie: na vnútorné použitie 
 • zdroj svetla: LED 
 • počet zdrojov svetla: 500 ks 
 • farba zdrojov svetla: dvojfarebná 
 • charakteristiky: 3D   2D zmiešané ihličie 
 • výška: 2,1 m 
 • napájanie: sieťový adaptér na vnútorné použitie 
 • ďalšie informácie: 3D   2D zmiešané ihličie</t>
        </is>
      </c>
    </row>
    <row r="2104">
      <c r="A2104" s="3" t="inlineStr">
        <is>
          <t>KMF 7/180</t>
        </is>
      </c>
      <c r="B2104" s="2" t="inlineStr">
        <is>
          <t>Umelý vianočný stromček, so zabud. LED, 180 cm</t>
        </is>
      </c>
      <c r="C2104" s="1" t="n">
        <v>71.19</v>
      </c>
      <c r="D2104" s="7" t="n">
        <f>HYPERLINK("https://www.somogyi.sk/product/umely-vianocny-stromcek-so-zabud-led-180-cm-kmf-7-180-17510","https://www.somogyi.sk/product/umely-vianocny-stromcek-so-zabud-led-180-cm-kmf-7-180-17510")</f>
        <v>0.0</v>
      </c>
      <c r="E2104" s="7" t="n">
        <f>HYPERLINK("https://www.somogyi.sk/data/img/product_main_images/small/17510.jpg","https://www.somogyi.sk/data/img/product_main_images/small/17510.jpg")</f>
        <v>0.0</v>
      </c>
      <c r="F2104" s="2" t="inlineStr">
        <is>
          <t>5999084955328</t>
        </is>
      </c>
      <c r="G2104" s="4" t="inlineStr">
        <is>
          <t xml:space="preserve"> • umiestnenie: na vnútorné použitie 
 • zdroj svetla: LED 
 • počet zdrojov svetla: 240 ks 
 • farba zdrojov svetla: teplá biela 
 • výška: 1,8 m 
 • napájanie: vnútorný sieťový adaptér</t>
        </is>
      </c>
    </row>
    <row r="2105">
      <c r="A2105" s="6" t="inlineStr">
        <is>
          <t xml:space="preserve">   Vianočné dekoračné osvetlenie / Dekorácia do okna</t>
        </is>
      </c>
      <c r="B2105" s="6" t="inlineStr">
        <is>
          <t/>
        </is>
      </c>
      <c r="C2105" s="6" t="inlineStr">
        <is>
          <t/>
        </is>
      </c>
      <c r="D2105" s="6" t="inlineStr">
        <is>
          <t/>
        </is>
      </c>
      <c r="E2105" s="6" t="inlineStr">
        <is>
          <t/>
        </is>
      </c>
      <c r="F2105" s="6" t="inlineStr">
        <is>
          <t/>
        </is>
      </c>
      <c r="G2105" s="6" t="inlineStr">
        <is>
          <t/>
        </is>
      </c>
    </row>
    <row r="2106">
      <c r="A2106" s="3" t="inlineStr">
        <is>
          <t>KID 331</t>
        </is>
      </c>
      <c r="B2106" s="2" t="inlineStr">
        <is>
          <t>LED dekorácia do okna</t>
        </is>
      </c>
      <c r="C2106" s="1" t="n">
        <v>2.29</v>
      </c>
      <c r="D2106" s="7" t="n">
        <f>HYPERLINK("https://www.somogyi.sk/product/led-dekoracia-do-okna-kid-331-13992","https://www.somogyi.sk/product/led-dekoracia-do-okna-kid-331-13992")</f>
        <v>0.0</v>
      </c>
      <c r="E2106" s="7" t="n">
        <f>HYPERLINK("https://www.somogyi.sk/data/img/product_main_images/small/13992.jpg","https://www.somogyi.sk/data/img/product_main_images/small/13992.jpg")</f>
        <v>0.0</v>
      </c>
      <c r="F2106" s="2" t="inlineStr">
        <is>
          <t>5999084920449</t>
        </is>
      </c>
      <c r="G2106" s="4" t="inlineStr">
        <is>
          <t xml:space="preserve"> • umiestnenie: vnútorné použitie 
 • zdroj svetla: LED 
 • počet zdrojov svetla: 1 ks 
 • farba zdrojov svetla: farbu meniaca 
 • rozmery: 10 x 10 cm 
 • napájanie: 2 x CR 2032 batéria (príslušenstvo)</t>
        </is>
      </c>
    </row>
    <row r="2107">
      <c r="A2107" s="3" t="inlineStr">
        <is>
          <t>KLW 40</t>
        </is>
      </c>
      <c r="B2107" s="2" t="inlineStr">
        <is>
          <t>Drevený svietiaci obraz</t>
        </is>
      </c>
      <c r="C2107" s="1" t="n">
        <v>13.09</v>
      </c>
      <c r="D2107" s="7" t="n">
        <f>HYPERLINK("https://www.somogyi.sk/product/dreveny-svietiaci-obraz-klw-40-16970","https://www.somogyi.sk/product/dreveny-svietiaci-obraz-klw-40-16970")</f>
        <v>0.0</v>
      </c>
      <c r="E2107" s="7" t="n">
        <f>HYPERLINK("https://www.somogyi.sk/data/img/product_main_images/small/16970.jpg","https://www.somogyi.sk/data/img/product_main_images/small/16970.jpg")</f>
        <v>0.0</v>
      </c>
      <c r="F2107" s="2" t="inlineStr">
        <is>
          <t>5999084950026</t>
        </is>
      </c>
      <c r="G2107" s="4" t="inlineStr">
        <is>
          <t xml:space="preserve"> • umiestnenie: na vnútorné použitie 
 • zdroj svetla: LED 
 • počet zdrojov svetla: 6 ks 
 • farba zdrojov svetla: teplá biela 
 • funkcie: drevený svietiaci obraz 
 • rozmery: 40 x 23,9 x 2,5 cm 
 • napájanie: 2 x 1,5 V (AAA) batéria, nie je príslušenstvom 
 • ďalšie informácie: - časovač osvetlenia: 
 •  OFF/ON (6 h ON / 18 h OFF) opakujúci sa časovač</t>
        </is>
      </c>
    </row>
    <row r="2108">
      <c r="A2108" s="3" t="inlineStr">
        <is>
          <t>KID 324</t>
        </is>
      </c>
      <c r="B2108" s="2" t="inlineStr">
        <is>
          <t>LED dekorácia do okna</t>
        </is>
      </c>
      <c r="C2108" s="1" t="n">
        <v>2.59</v>
      </c>
      <c r="D2108" s="7" t="n">
        <f>HYPERLINK("https://www.somogyi.sk/product/led-dekoracia-do-okna-kid-324-11931","https://www.somogyi.sk/product/led-dekoracia-do-okna-kid-324-11931")</f>
        <v>0.0</v>
      </c>
      <c r="E2108" s="7" t="n">
        <f>HYPERLINK("https://www.somogyi.sk/data/img/product_main_images/small/11931.jpg","https://www.somogyi.sk/data/img/product_main_images/small/11931.jpg")</f>
        <v>0.0</v>
      </c>
      <c r="F2108" s="2" t="inlineStr">
        <is>
          <t>5999084901431</t>
        </is>
      </c>
      <c r="G2108" s="4" t="inlineStr">
        <is>
          <t xml:space="preserve"> • umiestnenie: vnútorné použitie 
 • zdroj svetla: LED 
 • počet zdrojov svetla: 1 ks 
 • farba zdrojov svetla: farbu meniaca 
 • rozmery: 8 x 9,5 cm 
 • napájanie: 2 x CR 2032 batéria (príslušenstvo) 
 • ďalšie informácie: s prísavkou</t>
        </is>
      </c>
    </row>
    <row r="2109">
      <c r="A2109" s="3" t="inlineStr">
        <is>
          <t>KID 322</t>
        </is>
      </c>
      <c r="B2109" s="2" t="inlineStr">
        <is>
          <t>LED dekorácia do okna</t>
        </is>
      </c>
      <c r="C2109" s="1" t="n">
        <v>2.59</v>
      </c>
      <c r="D2109" s="7" t="n">
        <f>HYPERLINK("https://www.somogyi.sk/product/led-dekoracia-do-okna-kid-322-11929","https://www.somogyi.sk/product/led-dekoracia-do-okna-kid-322-11929")</f>
        <v>0.0</v>
      </c>
      <c r="E2109" s="7" t="n">
        <f>HYPERLINK("https://www.somogyi.sk/data/img/product_main_images/small/11929.jpg","https://www.somogyi.sk/data/img/product_main_images/small/11929.jpg")</f>
        <v>0.0</v>
      </c>
      <c r="F2109" s="2" t="inlineStr">
        <is>
          <t>5999084901417</t>
        </is>
      </c>
      <c r="G2109" s="4" t="inlineStr">
        <is>
          <t xml:space="preserve"> • umiestnenie: vnútorné použitie 
 • zdroj svetla: LED 
 • počet zdrojov svetla: 1 ks 
 • farba zdrojov svetla: farbu meniaca 
 • rozmery: 9 x 7,5 cm 
 • napájanie: 2 x CR 2032 batéria (príslušenstvo) 
 • ďalšie informácie: s prísavkou</t>
        </is>
      </c>
    </row>
    <row r="2110">
      <c r="A2110" s="3" t="inlineStr">
        <is>
          <t>KID503M</t>
        </is>
      </c>
      <c r="B2110" s="2" t="inlineStr">
        <is>
          <t>LED dekorácia do okna, hviezda, 6/18 h timer, s adaptérom, farebná</t>
        </is>
      </c>
      <c r="C2110" s="1" t="n">
        <v>10.59</v>
      </c>
      <c r="D2110" s="7" t="n">
        <f>HYPERLINK("https://www.somogyi.sk/product/led-dekoracia-do-okna-hviezda-6-18-h-timer-s-adapterom-farebna-kid503m-18600","https://www.somogyi.sk/product/led-dekoracia-do-okna-hviezda-6-18-h-timer-s-adapterom-farebna-kid503m-18600")</f>
        <v>0.0</v>
      </c>
      <c r="E2110" s="7" t="n">
        <f>HYPERLINK("https://www.somogyi.sk/data/img/product_main_images/small/18600.jpg","https://www.somogyi.sk/data/img/product_main_images/small/18600.jpg")</f>
        <v>0.0</v>
      </c>
      <c r="F2110" s="2" t="inlineStr">
        <is>
          <t>5999084966188</t>
        </is>
      </c>
      <c r="G2110" s="4" t="inlineStr">
        <is>
          <t xml:space="preserve"> • umiestnenie: na vonkajšie / vnútorné použitie 
 • zdroj svetla: LED 
 • počet zdrojov svetla: 35 ks 
 • farba zdrojov svetla: farebný 
 • časovač: 6h ON/18h OFF časovač 
 • ochrana proti vode: IP44 
 • farba kábla: biela farba 
 • rozmery: 33 x 33 cm 
 • dĺžka napájacieho kábla: 1,5 m 
 • napájanie: 230 V~  / 50 Hz adaptér 
 • príslušenstvo: 2 prísavky</t>
        </is>
      </c>
    </row>
    <row r="2111">
      <c r="A2111" s="3" t="inlineStr">
        <is>
          <t>KID 211 B/WW</t>
        </is>
      </c>
      <c r="B2111" s="2" t="inlineStr">
        <is>
          <t>LED dekorácia do okna, akrylová hviezda</t>
        </is>
      </c>
      <c r="C2111" s="1" t="n">
        <v>10.89</v>
      </c>
      <c r="D2111" s="7" t="n">
        <f>HYPERLINK("https://www.somogyi.sk/product/led-dekoracia-do-okna-akrylova-hviezda-kid-211-b-ww-17039","https://www.somogyi.sk/product/led-dekoracia-do-okna-akrylova-hviezda-kid-211-b-ww-17039")</f>
        <v>0.0</v>
      </c>
      <c r="E2111" s="7" t="n">
        <f>HYPERLINK("https://www.somogyi.sk/data/img/product_main_images/small/17039.jpg","https://www.somogyi.sk/data/img/product_main_images/small/17039.jpg")</f>
        <v>0.0</v>
      </c>
      <c r="F2111" s="2" t="inlineStr">
        <is>
          <t>5999084950712</t>
        </is>
      </c>
      <c r="G2111" s="4" t="inlineStr">
        <is>
          <t xml:space="preserve"> • umiestnenie: na vnútorné použitie 
 • zdroj svetla: LED 
 • počet zdrojov svetla: 20 ks 
 • farba zdrojov svetla: teplá biela 
 • rozmery: 30,5 x 32 cm 
 • napájanie: 2 x 1,5 V (AA) batéria, nie je príslušenstvom 
 • ďalšie informácie: 6h ON/18h OFF časovač, prísavka je príslušenstvom</t>
        </is>
      </c>
    </row>
    <row r="2112">
      <c r="A2112" s="3" t="inlineStr">
        <is>
          <t>KID 312</t>
        </is>
      </c>
      <c r="B2112" s="2" t="inlineStr">
        <is>
          <t>LED dekorácia do okna</t>
        </is>
      </c>
      <c r="C2112" s="1" t="n">
        <v>10.59</v>
      </c>
      <c r="D2112" s="7" t="n">
        <f>HYPERLINK("https://www.somogyi.sk/product/led-dekoracia-do-okna-kid-312-12027","https://www.somogyi.sk/product/led-dekoracia-do-okna-kid-312-12027")</f>
        <v>0.0</v>
      </c>
      <c r="E2112" s="7" t="n">
        <f>HYPERLINK("https://www.somogyi.sk/data/img/product_main_images/small/12027.jpg","https://www.somogyi.sk/data/img/product_main_images/small/12027.jpg")</f>
        <v>0.0</v>
      </c>
      <c r="F2112" s="2" t="inlineStr">
        <is>
          <t>5999084902391</t>
        </is>
      </c>
      <c r="G2112" s="4" t="inlineStr">
        <is>
          <t xml:space="preserve"> • umiestnenie: vnútorné použitie 
 • zdroj svetla: LED 
 • počet zdrojov svetla: 10 ks 
 • farba zdrojov svetla: studená biela 
 • farba kábla: priesvitná 
 • rozmery: 21 x 19 cm 
 • napájanie: 3 x AAA rozmer (nie je príslušenstvom) 
 • ďalšie informácie: puzdro na batérie s prísavkou</t>
        </is>
      </c>
    </row>
    <row r="2113">
      <c r="A2113" s="3" t="inlineStr">
        <is>
          <t>KAD 01</t>
        </is>
      </c>
      <c r="B2113" s="2" t="inlineStr">
        <is>
          <t>Svietnik pyramída</t>
        </is>
      </c>
      <c r="C2113" s="1" t="n">
        <v>17.89</v>
      </c>
      <c r="D2113" s="7" t="n">
        <f>HYPERLINK("https://www.somogyi.sk/product/svietnik-pyramida-kad-01-4931","https://www.somogyi.sk/product/svietnik-pyramida-kad-01-4931")</f>
        <v>0.0</v>
      </c>
      <c r="E2113" s="7" t="n">
        <f>HYPERLINK("https://www.somogyi.sk/data/img/product_main_images/small/04931.jpg","https://www.somogyi.sk/data/img/product_main_images/small/04931.jpg")</f>
        <v>0.0</v>
      </c>
      <c r="F2113" s="2" t="inlineStr">
        <is>
          <t>5998312743546</t>
        </is>
      </c>
      <c r="G2113" s="4" t="inlineStr">
        <is>
          <t xml:space="preserve"> • umiestnenie: vnútorné použitie 
 • zdroj svetla: žiarovka 
 • počet zdrojov svetla: 7 ks 
 • farba zdrojov svetla: teplá biela 
 • rozmery: 30 x 40 cm 
 • náhradná žiarovka: L 7D 
 • napájanie: 230 V~ 
 • ďalšie informácie: svietnik z lakovaného dreva</t>
        </is>
      </c>
    </row>
    <row r="2114">
      <c r="A2114" s="3" t="inlineStr">
        <is>
          <t>KID 323</t>
        </is>
      </c>
      <c r="B2114" s="2" t="inlineStr">
        <is>
          <t>LED dekorácia do okna</t>
        </is>
      </c>
      <c r="C2114" s="1" t="n">
        <v>2.59</v>
      </c>
      <c r="D2114" s="7" t="n">
        <f>HYPERLINK("https://www.somogyi.sk/product/led-dekoracia-do-okna-kid-323-11930","https://www.somogyi.sk/product/led-dekoracia-do-okna-kid-323-11930")</f>
        <v>0.0</v>
      </c>
      <c r="E2114" s="7" t="n">
        <f>HYPERLINK("https://www.somogyi.sk/data/img/product_main_images/small/11930.jpg","https://www.somogyi.sk/data/img/product_main_images/small/11930.jpg")</f>
        <v>0.0</v>
      </c>
      <c r="F2114" s="2" t="inlineStr">
        <is>
          <t>5999084901424</t>
        </is>
      </c>
      <c r="G2114" s="4" t="inlineStr">
        <is>
          <t xml:space="preserve"> • umiestnenie: vnútorné použitie 
 • zdroj svetla: LED 
 • počet zdrojov svetla: 1 ks 
 • farba zdrojov svetla: farbu meniaca 
 • rozmery: 11 x 7 cm 
 • napájanie: 2 x CR 2032 batéria (príslušenstvo) 
 • ďalšie informácie: s prísavkou</t>
        </is>
      </c>
    </row>
    <row r="2115">
      <c r="A2115" s="3" t="inlineStr">
        <is>
          <t>KID 701</t>
        </is>
      </c>
      <c r="B2115" s="2" t="inlineStr">
        <is>
          <t>LED dekorácia do okna, akryl, snehová vločka</t>
        </is>
      </c>
      <c r="C2115" s="1" t="n">
        <v>10.19</v>
      </c>
      <c r="D2115" s="7" t="n">
        <f>HYPERLINK("https://www.somogyi.sk/product/led-dekoracia-do-okna-akryl-snehova-vlocka-kid-701-11910","https://www.somogyi.sk/product/led-dekoracia-do-okna-akryl-snehova-vlocka-kid-701-11910")</f>
        <v>0.0</v>
      </c>
      <c r="E2115" s="7" t="n">
        <f>HYPERLINK("https://www.somogyi.sk/data/img/product_main_images/small/11910.jpg","https://www.somogyi.sk/data/img/product_main_images/small/11910.jpg")</f>
        <v>0.0</v>
      </c>
      <c r="F2115" s="2" t="inlineStr">
        <is>
          <t>5999084901226</t>
        </is>
      </c>
      <c r="G2115" s="4" t="inlineStr">
        <is>
          <t xml:space="preserve"> • umiestnenie: vnútorné použitie 
 • zdroj svetla: LED 
 • počet zdrojov svetla: 16 ks 
 • farba zdrojov svetla: studená biela 
 • rozmery: 30 x 30 cm 
 • napájanie: 3 x AA batéria (nie je príslušenstvom) 
 • ďalšie informácie: materiál z akrylu</t>
        </is>
      </c>
    </row>
    <row r="2116">
      <c r="A2116" s="3" t="inlineStr">
        <is>
          <t>KID 321</t>
        </is>
      </c>
      <c r="B2116" s="2" t="inlineStr">
        <is>
          <t>LED dekorácia do okna</t>
        </is>
      </c>
      <c r="C2116" s="1" t="n">
        <v>2.59</v>
      </c>
      <c r="D2116" s="7" t="n">
        <f>HYPERLINK("https://www.somogyi.sk/product/led-dekoracia-do-okna-kid-321-11928","https://www.somogyi.sk/product/led-dekoracia-do-okna-kid-321-11928")</f>
        <v>0.0</v>
      </c>
      <c r="E2116" s="7" t="n">
        <f>HYPERLINK("https://www.somogyi.sk/data/img/product_main_images/small/11928.jpg","https://www.somogyi.sk/data/img/product_main_images/small/11928.jpg")</f>
        <v>0.0</v>
      </c>
      <c r="F2116" s="2" t="inlineStr">
        <is>
          <t>5999084901400</t>
        </is>
      </c>
      <c r="G2116" s="4" t="inlineStr">
        <is>
          <t xml:space="preserve"> • umiestnenie: vnútorné použitie 
 • zdroj svetla: LED 
 • počet zdrojov svetla: 1 ks 
 • farba zdrojov svetla: farbu meniaca 
 • rozmery: 10 x 7 cm 
 • napájanie: 2 x CR 2032 batéria (príslušenstvo) 
 • ďalšie informácie: s prísavkou</t>
        </is>
      </c>
    </row>
    <row r="2117">
      <c r="A2117" s="3" t="inlineStr">
        <is>
          <t>KID 311</t>
        </is>
      </c>
      <c r="B2117" s="2" t="inlineStr">
        <is>
          <t>LED dekorácia do okna</t>
        </is>
      </c>
      <c r="C2117" s="1" t="n">
        <v>10.59</v>
      </c>
      <c r="D2117" s="7" t="n">
        <f>HYPERLINK("https://www.somogyi.sk/product/led-dekoracia-do-okna-kid-311-12026","https://www.somogyi.sk/product/led-dekoracia-do-okna-kid-311-12026")</f>
        <v>0.0</v>
      </c>
      <c r="E2117" s="7" t="n">
        <f>HYPERLINK("https://www.somogyi.sk/data/img/product_main_images/small/12026.jpg","https://www.somogyi.sk/data/img/product_main_images/small/12026.jpg")</f>
        <v>0.0</v>
      </c>
      <c r="F2117" s="2" t="inlineStr">
        <is>
          <t>5999084902384</t>
        </is>
      </c>
      <c r="G2117" s="4" t="inlineStr">
        <is>
          <t xml:space="preserve"> • umiestnenie: vnútorné použitie 
 • zdroj svetla: LED 
 • počet zdrojov svetla: 10 ks 
 • farba zdrojov svetla: studená biela 
 • farba kábla: priesvitná 
 • rozmery: 26 x 16 cm 
 • napájanie: 3 x AAA rozmer (nie je príslušenstvom) 
 • ďalšie informácie: puzdro na batérie s prísavkou</t>
        </is>
      </c>
    </row>
    <row r="2118">
      <c r="A2118" s="3" t="inlineStr">
        <is>
          <t>KID 503 B/WW</t>
        </is>
      </c>
      <c r="B2118" s="2" t="inlineStr">
        <is>
          <t>LED dekorácia do okna, hviezda</t>
        </is>
      </c>
      <c r="C2118" s="1" t="n">
        <v>6.09</v>
      </c>
      <c r="D2118" s="7" t="n">
        <f>HYPERLINK("https://www.somogyi.sk/product/led-dekoracia-do-okna-hviezda-kid-503-b-ww-17038","https://www.somogyi.sk/product/led-dekoracia-do-okna-hviezda-kid-503-b-ww-17038")</f>
        <v>0.0</v>
      </c>
      <c r="E2118" s="7" t="n">
        <f>HYPERLINK("https://www.somogyi.sk/data/img/product_main_images/small/17038.jpg","https://www.somogyi.sk/data/img/product_main_images/small/17038.jpg")</f>
        <v>0.0</v>
      </c>
      <c r="F2118" s="2" t="inlineStr">
        <is>
          <t>5999084950705</t>
        </is>
      </c>
      <c r="G2118" s="4" t="inlineStr">
        <is>
          <t xml:space="preserve"> • umiestnenie: na vnútorné použitie 
 • zdroj svetla: LED 
 • počet zdrojov svetla: 35 ks 
 • farba zdrojov svetla: teplá biela 
 • rozmery: 33 x 33 cm 
 • napájanie: 3 x 1,5 V (AA) batéria, nie je príslušenstvom 
 • ďalšie informácie: priebežná prevádzka alebo 6h ON/18h OFF časovač, 2 prísavky sú príslušenstvom</t>
        </is>
      </c>
    </row>
    <row r="2119">
      <c r="A2119" s="3" t="inlineStr">
        <is>
          <t>KAD 02</t>
        </is>
      </c>
      <c r="B2119" s="2" t="inlineStr">
        <is>
          <t>Svietnik oblúk</t>
        </is>
      </c>
      <c r="C2119" s="1" t="n">
        <v>26.09</v>
      </c>
      <c r="D2119" s="7" t="n">
        <f>HYPERLINK("https://www.somogyi.sk/product/svietnik-obluk-kad-02-4932","https://www.somogyi.sk/product/svietnik-obluk-kad-02-4932")</f>
        <v>0.0</v>
      </c>
      <c r="E2119" s="7" t="n">
        <f>HYPERLINK("https://www.somogyi.sk/data/img/product_main_images/small/04932.jpg","https://www.somogyi.sk/data/img/product_main_images/small/04932.jpg")</f>
        <v>0.0</v>
      </c>
      <c r="F2119" s="2" t="inlineStr">
        <is>
          <t>5998312743553</t>
        </is>
      </c>
      <c r="G2119" s="4" t="inlineStr">
        <is>
          <t xml:space="preserve"> • umiestnenie: vnútorné použitie 
 • zdroj svetla: žiarovka 
 • počet zdrojov svetla: 7 ks 
 • farba zdrojov svetla: teplá biela 
 • rozmery: 30 x 43 cm 
 • náhradná žiarovka: L 7D 
 • napájanie: 230 V~ 
 • ďalšie informácie: svietnik z lakovaného dreva</t>
        </is>
      </c>
    </row>
    <row r="2120">
      <c r="A2120" s="3" t="inlineStr">
        <is>
          <t>KAL 01</t>
        </is>
      </c>
      <c r="B2120" s="2" t="inlineStr">
        <is>
          <t>Svietnik pyramída</t>
        </is>
      </c>
      <c r="C2120" s="1" t="n">
        <v>14.39</v>
      </c>
      <c r="D2120" s="7" t="n">
        <f>HYPERLINK("https://www.somogyi.sk/product/svietnik-pyramida-kal-01-13385","https://www.somogyi.sk/product/svietnik-pyramida-kal-01-13385")</f>
        <v>0.0</v>
      </c>
      <c r="E2120" s="7" t="n">
        <f>HYPERLINK("https://www.somogyi.sk/data/img/product_main_images/small/13385.jpg","https://www.somogyi.sk/data/img/product_main_images/small/13385.jpg")</f>
        <v>0.0</v>
      </c>
      <c r="F2120" s="2" t="inlineStr">
        <is>
          <t>5999084914714</t>
        </is>
      </c>
      <c r="G2120" s="4" t="inlineStr">
        <is>
          <t xml:space="preserve"> • umiestnenie: vnútorné použitie 
 • zdroj svetla: LED 
 • počet zdrojov svetla: 7 ks 
 • farba zdrojov svetla: teplá biela 
 • rozmery: 27 x 41 cm 
 • náhradná žiarovka: - 
 • napájanie: 2 x AA batéria 
 • ďalšie informácie: plastový svietnik, 10 cm-ové sviečky</t>
        </is>
      </c>
    </row>
    <row r="2121">
      <c r="A2121" s="3" t="inlineStr">
        <is>
          <t>KAD 07</t>
        </is>
      </c>
      <c r="B2121" s="2" t="inlineStr">
        <is>
          <t>Svietnik pyramída</t>
        </is>
      </c>
      <c r="C2121" s="1" t="n">
        <v>26.99</v>
      </c>
      <c r="D2121" s="7" t="n">
        <f>HYPERLINK("https://www.somogyi.sk/product/svietnik-pyramida-kad-07-8973","https://www.somogyi.sk/product/svietnik-pyramida-kad-07-8973")</f>
        <v>0.0</v>
      </c>
      <c r="E2121" s="7" t="n">
        <f>HYPERLINK("https://www.somogyi.sk/data/img/product_main_images/small/08973.jpg","https://www.somogyi.sk/data/img/product_main_images/small/08973.jpg")</f>
        <v>0.0</v>
      </c>
      <c r="F2121" s="2" t="inlineStr">
        <is>
          <t>5998312778531</t>
        </is>
      </c>
      <c r="G2121" s="4" t="inlineStr">
        <is>
          <t xml:space="preserve"> • na vnútorné použitie 
 • lakované drevo 
 • 7 ks červených „plameň sviečky“ žiaroviek 
 • napájanie: 230 V~ 
 • náhr. žiar.: L 2040C/E10</t>
        </is>
      </c>
    </row>
    <row r="2122">
      <c r="A2122" s="3" t="inlineStr">
        <is>
          <t>KLW 17 S</t>
        </is>
      </c>
      <c r="B2122" s="2" t="inlineStr">
        <is>
          <t>Drevená dekorácia do okna, na dvere, hviezda</t>
        </is>
      </c>
      <c r="C2122" s="1" t="n">
        <v>11.49</v>
      </c>
      <c r="D2122" s="7" t="n">
        <f>HYPERLINK("https://www.somogyi.sk/product/drevena-dekoracia-do-okna-na-dvere-hviezda-klw-17-s-16971","https://www.somogyi.sk/product/drevena-dekoracia-do-okna-na-dvere-hviezda-klw-17-s-16971")</f>
        <v>0.0</v>
      </c>
      <c r="E2122" s="7" t="n">
        <f>HYPERLINK("https://www.somogyi.sk/data/img/product_main_images/small/16971.jpg","https://www.somogyi.sk/data/img/product_main_images/small/16971.jpg")</f>
        <v>0.0</v>
      </c>
      <c r="F2122" s="2" t="inlineStr">
        <is>
          <t>5999084950033</t>
        </is>
      </c>
      <c r="G2122" s="4" t="inlineStr">
        <is>
          <t xml:space="preserve"> • umiestnenie: na vnútorné použitie 
 • zdroj svetla: LED 
 • počet zdrojov svetla: 6 ks 
 • farba zdrojov svetla: teplá biela 
 • funkcie: drevená dekorácia do okna, na dvere, hviezda, snehuliak 
 • rozmery: 18 x 17 x 2,2 cm 
 • napájanie: 2 x 1,5 V (AAA) batéria, nie je príslušenstvom</t>
        </is>
      </c>
    </row>
    <row r="2123">
      <c r="A2123" s="3" t="inlineStr">
        <is>
          <t>KID 411</t>
        </is>
      </c>
      <c r="B2123" s="2" t="inlineStr">
        <is>
          <t>LED dekorácia do okna</t>
        </is>
      </c>
      <c r="C2123" s="1" t="n">
        <v>6.59</v>
      </c>
      <c r="D2123" s="7" t="n">
        <f>HYPERLINK("https://www.somogyi.sk/product/led-dekoracia-do-okna-kid-411-12030","https://www.somogyi.sk/product/led-dekoracia-do-okna-kid-411-12030")</f>
        <v>0.0</v>
      </c>
      <c r="E2123" s="7" t="n">
        <f>HYPERLINK("https://www.somogyi.sk/data/img/product_main_images/small/12030.jpg","https://www.somogyi.sk/data/img/product_main_images/small/12030.jpg")</f>
        <v>0.0</v>
      </c>
      <c r="F2123" s="2" t="inlineStr">
        <is>
          <t>5999084902421</t>
        </is>
      </c>
      <c r="G2123" s="4" t="inlineStr">
        <is>
          <t xml:space="preserve"> • umiestnenie: vnútorné použitie 
 • zdroj svetla: LED 
 • počet zdrojov svetla: 8 ks 
 • farba zdrojov svetla: teplá biela 
 • farba kábla: priesvitná 
 • rozmery: 19 cm 
 • napájanie: 3 x AAA batéria (nie je príslušenstvom) 
 • ďalšie informácie: puzdro na batérie s prísavkou</t>
        </is>
      </c>
    </row>
    <row r="2124">
      <c r="A2124" s="3" t="inlineStr">
        <is>
          <t>KAD 07/RD</t>
        </is>
      </c>
      <c r="B2124" s="2" t="inlineStr">
        <is>
          <t>Svietnik pyramída, červený</t>
        </is>
      </c>
      <c r="C2124" s="1" t="n">
        <v>25.79</v>
      </c>
      <c r="D2124" s="7" t="n">
        <f>HYPERLINK("https://www.somogyi.sk/product/svietnik-pyramida-cerveny-kad-07-rd-8972","https://www.somogyi.sk/product/svietnik-pyramida-cerveny-kad-07-rd-8972")</f>
        <v>0.0</v>
      </c>
      <c r="E2124" s="7" t="n">
        <f>HYPERLINK("https://www.somogyi.sk/data/img/product_main_images/small/08972.jpg","https://www.somogyi.sk/data/img/product_main_images/small/08972.jpg")</f>
        <v>0.0</v>
      </c>
      <c r="F2124" s="2" t="inlineStr">
        <is>
          <t>5998312778524</t>
        </is>
      </c>
      <c r="G2124" s="4" t="inlineStr">
        <is>
          <t xml:space="preserve"> • umiestnenie: vnútorné použitie 
 • zdroj svetla: glim 
 • počet zdrojov svetla: 7 ks 
 • farba zdrojov svetla: červená 
 • rozmery: 33 x 40 cm 
 • náhradná žiarovka: L 2040C/E10 
 • napájanie: 230 V~ 
 • ďalšie informácie: červený drevený svietnik</t>
        </is>
      </c>
    </row>
    <row r="2125">
      <c r="A2125" s="3" t="inlineStr">
        <is>
          <t>KID 415</t>
        </is>
      </c>
      <c r="B2125" s="2" t="inlineStr">
        <is>
          <t>LED dekorácia do okna</t>
        </is>
      </c>
      <c r="C2125" s="1" t="n">
        <v>6.59</v>
      </c>
      <c r="D2125" s="7" t="n">
        <f>HYPERLINK("https://www.somogyi.sk/product/led-dekoracia-do-okna-kid-415-12034","https://www.somogyi.sk/product/led-dekoracia-do-okna-kid-415-12034")</f>
        <v>0.0</v>
      </c>
      <c r="E2125" s="7" t="n">
        <f>HYPERLINK("https://www.somogyi.sk/data/img/product_main_images/small/12034.jpg","https://www.somogyi.sk/data/img/product_main_images/small/12034.jpg")</f>
        <v>0.0</v>
      </c>
      <c r="F2125" s="2" t="inlineStr">
        <is>
          <t>5999084902469</t>
        </is>
      </c>
      <c r="G2125" s="4" t="inlineStr">
        <is>
          <t xml:space="preserve"> • umiestnenie: vnútorné použitie 
 • zdroj svetla: LED 
 • počet zdrojov svetla: 8 ks 
 • farba zdrojov svetla: teplá biela 
 • farba kábla: priesvitná 
 • rozmery: 19 cm 
 • napájanie: 3 x AAA batéria (nie je príslušenstvom) 
 • ďalšie informácie: puzdro na batérie s prísavkou</t>
        </is>
      </c>
    </row>
    <row r="2126">
      <c r="A2126" s="3" t="inlineStr">
        <is>
          <t>KID 412</t>
        </is>
      </c>
      <c r="B2126" s="2" t="inlineStr">
        <is>
          <t>LED dekorácia do okna</t>
        </is>
      </c>
      <c r="C2126" s="1" t="n">
        <v>6.59</v>
      </c>
      <c r="D2126" s="7" t="n">
        <f>HYPERLINK("https://www.somogyi.sk/product/led-dekoracia-do-okna-kid-412-12031","https://www.somogyi.sk/product/led-dekoracia-do-okna-kid-412-12031")</f>
        <v>0.0</v>
      </c>
      <c r="E2126" s="7" t="n">
        <f>HYPERLINK("https://www.somogyi.sk/data/img/product_main_images/small/12031.jpg","https://www.somogyi.sk/data/img/product_main_images/small/12031.jpg")</f>
        <v>0.0</v>
      </c>
      <c r="F2126" s="2" t="inlineStr">
        <is>
          <t>5999084902438</t>
        </is>
      </c>
      <c r="G2126" s="4" t="inlineStr">
        <is>
          <t xml:space="preserve"> • umiestnenie: vnútorné použitie 
 • zdroj svetla: LED 
 • počet zdrojov svetla: 8 ks 
 • farba zdrojov svetla: teplá biela 
 • farba kábla: priesvitná 
 • rozmery: 19 cm 
 • napájanie: 3 x AAA batéria (nie je príslušenstvom) 
 • ďalšie informácie: puzdro na batérie s prísavkou</t>
        </is>
      </c>
    </row>
    <row r="2127">
      <c r="A2127" s="3" t="inlineStr">
        <is>
          <t>KAD 03</t>
        </is>
      </c>
      <c r="B2127" s="2" t="inlineStr">
        <is>
          <t>Svietnik pyramída</t>
        </is>
      </c>
      <c r="C2127" s="1" t="n">
        <v>17.89</v>
      </c>
      <c r="D2127" s="7" t="n">
        <f>HYPERLINK("https://www.somogyi.sk/product/svietnik-pyramida-kad-03-4934","https://www.somogyi.sk/product/svietnik-pyramida-kad-03-4934")</f>
        <v>0.0</v>
      </c>
      <c r="E2127" s="7" t="n">
        <f>HYPERLINK("https://www.somogyi.sk/data/img/product_main_images/small/04934.jpg","https://www.somogyi.sk/data/img/product_main_images/small/04934.jpg")</f>
        <v>0.0</v>
      </c>
      <c r="F2127" s="2" t="inlineStr">
        <is>
          <t>5998312743560</t>
        </is>
      </c>
      <c r="G2127" s="4" t="inlineStr">
        <is>
          <t xml:space="preserve"> • umiestnenie: vnútorné použitie 
 • zdroj svetla: žiarovka 
 • počet zdrojov svetla: 7 ks 
 • farba zdrojov svetla: teplá biela 
 • rozmery: 30 x 40 cm 
 • náhradná žiarovka: L 7D 
 • napájanie: 230 V~ 
 • ďalšie informácie: biely svietnik</t>
        </is>
      </c>
    </row>
    <row r="2128">
      <c r="A2128" s="3" t="inlineStr">
        <is>
          <t>KID 503 B/M</t>
        </is>
      </c>
      <c r="B2128" s="2" t="inlineStr">
        <is>
          <t>LED dekorácia do okna, hviezda</t>
        </is>
      </c>
      <c r="C2128" s="1" t="n">
        <v>6.09</v>
      </c>
      <c r="D2128" s="7" t="n">
        <f>HYPERLINK("https://www.somogyi.sk/product/led-dekoracia-do-okna-hviezda-kid-503-b-m-17333","https://www.somogyi.sk/product/led-dekoracia-do-okna-hviezda-kid-503-b-m-17333")</f>
        <v>0.0</v>
      </c>
      <c r="E2128" s="7" t="n">
        <f>HYPERLINK("https://www.somogyi.sk/data/img/product_main_images/small/17333.jpg","https://www.somogyi.sk/data/img/product_main_images/small/17333.jpg")</f>
        <v>0.0</v>
      </c>
      <c r="F2128" s="2" t="inlineStr">
        <is>
          <t>5999084953553</t>
        </is>
      </c>
      <c r="G2128" s="4" t="inlineStr">
        <is>
          <t xml:space="preserve"> • umiestnenie: na vnútorné použitie 
 • zdroj svetla: LED 
 • počet zdrojov svetla: 35 ks 
 • farba zdrojov svetla: farebný 
 • rozmery: 33 cm x 33 cm 
 • napájanie: 3 x 1,5 V AA batéria (nie je príslušenstvom)</t>
        </is>
      </c>
    </row>
    <row r="2129">
      <c r="A2129" s="3" t="inlineStr">
        <is>
          <t>KLW 21 R</t>
        </is>
      </c>
      <c r="B2129" s="2" t="inlineStr">
        <is>
          <t>Drevená dekorácia do okna, na dvere, sob</t>
        </is>
      </c>
      <c r="C2129" s="1" t="n">
        <v>10.19</v>
      </c>
      <c r="D2129" s="7" t="n">
        <f>HYPERLINK("https://www.somogyi.sk/product/drevena-dekoracia-do-okna-na-dvere-sob-klw-21-r-16972","https://www.somogyi.sk/product/drevena-dekoracia-do-okna-na-dvere-sob-klw-21-r-16972")</f>
        <v>0.0</v>
      </c>
      <c r="E2129" s="7" t="n">
        <f>HYPERLINK("https://www.somogyi.sk/data/img/product_main_images/small/16972.jpg","https://www.somogyi.sk/data/img/product_main_images/small/16972.jpg")</f>
        <v>0.0</v>
      </c>
      <c r="F2129" s="2" t="inlineStr">
        <is>
          <t>5999084950040</t>
        </is>
      </c>
      <c r="G2129" s="4" t="inlineStr">
        <is>
          <t xml:space="preserve"> • umiestnenie: na vnútorné použitie 
 • zdroj svetla: LED 
 • počet zdrojov svetla: 4 ks 
 • farba zdrojov svetla: teplá biela 
 • funkcie: drevená dekorácia do okna, na dvere, sob 
 • rozmery: 13 x 21 x 2,3 cm 
 • napájanie: 2 x 1,5 V (AAA) batéria, nie je príslušenstvom</t>
        </is>
      </c>
    </row>
    <row r="2130">
      <c r="A2130" s="3" t="inlineStr">
        <is>
          <t>KID 331/WH</t>
        </is>
      </c>
      <c r="B2130" s="2" t="inlineStr">
        <is>
          <t>LED dekorácia do okna</t>
        </is>
      </c>
      <c r="C2130" s="1" t="n">
        <v>2.29</v>
      </c>
      <c r="D2130" s="7" t="n">
        <f>HYPERLINK("https://www.somogyi.sk/product/led-dekoracia-do-okna-kid-331-wh-14726","https://www.somogyi.sk/product/led-dekoracia-do-okna-kid-331-wh-14726")</f>
        <v>0.0</v>
      </c>
      <c r="E2130" s="7" t="n">
        <f>HYPERLINK("https://www.somogyi.sk/data/img/product_main_images/small/14726.jpg","https://www.somogyi.sk/data/img/product_main_images/small/14726.jpg")</f>
        <v>0.0</v>
      </c>
      <c r="F2130" s="2" t="inlineStr">
        <is>
          <t>5999084927684</t>
        </is>
      </c>
      <c r="G2130" s="4" t="inlineStr">
        <is>
          <t xml:space="preserve"> • umiestnenie: vnútorné použitie 
 • zdroj svetla: LED 
 • počet zdrojov svetla: 1 ks 
 • farba zdrojov svetla: studená biela 
 • rozmery: 10 x 10 cm 
 • napájanie: 2 x CR 2032 batéria (príslušenstvo)</t>
        </is>
      </c>
    </row>
    <row r="2131">
      <c r="A2131" s="3" t="inlineStr">
        <is>
          <t>KLW 32</t>
        </is>
      </c>
      <c r="B2131" s="2" t="inlineStr">
        <is>
          <t>Drevená dekorácia do okna, na dvere</t>
        </is>
      </c>
      <c r="C2131" s="1" t="n">
        <v>13.79</v>
      </c>
      <c r="D2131" s="7" t="n">
        <f>HYPERLINK("https://www.somogyi.sk/product/drevena-dekoracia-do-okna-na-dvere-klw-32-16969","https://www.somogyi.sk/product/drevena-dekoracia-do-okna-na-dvere-klw-32-16969")</f>
        <v>0.0</v>
      </c>
      <c r="E2131" s="7" t="n">
        <f>HYPERLINK("https://www.somogyi.sk/data/img/product_main_images/small/16969.jpg","https://www.somogyi.sk/data/img/product_main_images/small/16969.jpg")</f>
        <v>0.0</v>
      </c>
      <c r="F2131" s="2" t="inlineStr">
        <is>
          <t>5999084950019</t>
        </is>
      </c>
      <c r="G2131" s="4" t="inlineStr">
        <is>
          <t xml:space="preserve"> • umiestnenie: na vnútorné použitie 
 • zdroj svetla: LED 
 • počet zdrojov svetla: 6 ks 
 • farba zdrojov svetla: teplá biela 
 • funkcie: drevená dekorácia do okna, na dvere 
 • rozmery: 29 x 32 x 1,8 cm 
 • napájanie: 2 x 1,5 V (AAA) batéria, nie je príslušenstvom</t>
        </is>
      </c>
    </row>
    <row r="2132">
      <c r="A2132" s="3" t="inlineStr">
        <is>
          <t>KID503WW</t>
        </is>
      </c>
      <c r="B2132" s="2" t="inlineStr">
        <is>
          <t>LED dekorácia do okna, hviezda, 6/18 h timer, s adaptérom, teplá biela</t>
        </is>
      </c>
      <c r="C2132" s="1" t="n">
        <v>10.59</v>
      </c>
      <c r="D2132" s="7" t="n">
        <f>HYPERLINK("https://www.somogyi.sk/product/led-dekoracia-do-okna-hviezda-6-18-h-timer-s-adapterom-tepla-biela-kid503ww-18604","https://www.somogyi.sk/product/led-dekoracia-do-okna-hviezda-6-18-h-timer-s-adapterom-tepla-biela-kid503ww-18604")</f>
        <v>0.0</v>
      </c>
      <c r="E2132" s="7" t="n">
        <f>HYPERLINK("https://www.somogyi.sk/data/img/product_main_images/small/18604.jpg","https://www.somogyi.sk/data/img/product_main_images/small/18604.jpg")</f>
        <v>0.0</v>
      </c>
      <c r="F2132" s="2" t="inlineStr">
        <is>
          <t>5999084966225</t>
        </is>
      </c>
      <c r="G2132" s="4" t="inlineStr">
        <is>
          <t xml:space="preserve"> • umiestnenie: na vonkajšie / vnútorné použitie 
 • zdroj svetla: LED 
 • počet zdrojov svetla: 35 ks 
 • farba zdrojov svetla: teplá biela 
 • časovač: 6h ON/18h OFF časovač 
 • ochrana proti vode: IP44 
 • farba kábla: biela farba 
 • rozmery: 33 x 33 cm 
 • dĺžka napájacieho kábla: 1,5 m 
 • napájanie: 230 V~  / 50 Hz adaptér 
 • príslušenstvo: 2 prísavky</t>
        </is>
      </c>
    </row>
    <row r="2133">
      <c r="A2133" s="3" t="inlineStr">
        <is>
          <t>KID 502 B/M</t>
        </is>
      </c>
      <c r="B2133" s="2" t="inlineStr">
        <is>
          <t>LED dekorácia do okna</t>
        </is>
      </c>
      <c r="C2133" s="1" t="n">
        <v>6.09</v>
      </c>
      <c r="D2133" s="7" t="n">
        <f>HYPERLINK("https://www.somogyi.sk/product/led-dekoracia-do-okna-kid-502-b-m-17332","https://www.somogyi.sk/product/led-dekoracia-do-okna-kid-502-b-m-17332")</f>
        <v>0.0</v>
      </c>
      <c r="E2133" s="7" t="n">
        <f>HYPERLINK("https://www.somogyi.sk/data/img/product_main_images/small/17332.jpg","https://www.somogyi.sk/data/img/product_main_images/small/17332.jpg")</f>
        <v>0.0</v>
      </c>
      <c r="F2133" s="2" t="inlineStr">
        <is>
          <t>5999084953546</t>
        </is>
      </c>
      <c r="G2133" s="4" t="inlineStr">
        <is>
          <t xml:space="preserve"> • umiestnenie: na vnútorné použitie 
 • zdroj svetla: LED 
 • počet zdrojov svetla: 35 ks 
 • farba zdrojov svetla: farebný 
 • farba kábla: biela farba 
 • rozmery: rozmery: 28 cm x 33 cm 
 • napájanie: 3 x 1,5 V AA batéria (nie je príslušenstvom)</t>
        </is>
      </c>
    </row>
    <row r="2134">
      <c r="A2134" s="3" t="inlineStr">
        <is>
          <t>KLW 21 S</t>
        </is>
      </c>
      <c r="B2134" s="2" t="inlineStr">
        <is>
          <t>Drevená dekorácia do okna, na dvere, snehuliak</t>
        </is>
      </c>
      <c r="C2134" s="1" t="n">
        <v>10.19</v>
      </c>
      <c r="D2134" s="7" t="n">
        <f>HYPERLINK("https://www.somogyi.sk/product/drevena-dekoracia-do-okna-na-dvere-snehuliak-klw-21-s-16983","https://www.somogyi.sk/product/drevena-dekoracia-do-okna-na-dvere-snehuliak-klw-21-s-16983")</f>
        <v>0.0</v>
      </c>
      <c r="E2134" s="7" t="n">
        <f>HYPERLINK("https://www.somogyi.sk/data/img/product_main_images/small/16983.jpg","https://www.somogyi.sk/data/img/product_main_images/small/16983.jpg")</f>
        <v>0.0</v>
      </c>
      <c r="F2134" s="2" t="inlineStr">
        <is>
          <t>5999084950156</t>
        </is>
      </c>
      <c r="G2134" s="4" t="inlineStr">
        <is>
          <t xml:space="preserve"> • umiestnenie: na vnútorné použitie 
 • zdroj svetla: LED 
 • počet zdrojov svetla: 4 ks 
 • farba zdrojov svetla: teplá biela 
 • funkcie: drevená dekorácia do okna, na dvere, snehuliak 
 • rozmery: 13 x 21 x 2,3 cm 
 • napájanie: 2 x 1,5 V (AAA) batéria, nie je príslušenstvom</t>
        </is>
      </c>
    </row>
    <row r="2135">
      <c r="A2135" s="3" t="inlineStr">
        <is>
          <t>KID 115</t>
        </is>
      </c>
      <c r="B2135" s="2" t="inlineStr">
        <is>
          <t>LED hviezda do okna</t>
        </is>
      </c>
      <c r="C2135" s="1" t="n">
        <v>9.79</v>
      </c>
      <c r="D2135" s="7" t="n">
        <f>HYPERLINK("https://www.somogyi.sk/product/led-hviezda-do-okna-kid-115-18134","https://www.somogyi.sk/product/led-hviezda-do-okna-kid-115-18134")</f>
        <v>0.0</v>
      </c>
      <c r="E2135" s="7" t="n">
        <f>HYPERLINK("https://www.somogyi.sk/data/img/product_main_images/small/18134.jpg","https://www.somogyi.sk/data/img/product_main_images/small/18134.jpg")</f>
        <v>0.0</v>
      </c>
      <c r="F2135" s="2" t="inlineStr">
        <is>
          <t>5999084961565</t>
        </is>
      </c>
      <c r="G2135" s="4" t="inlineStr">
        <is>
          <t xml:space="preserve"> • na vnútorné použitie 
 • kovový rám 
 • 115 ks teplých bielych micro LED 
 • za-/vypínač na puzdre na batérie 
 • napájanie: 3 x 1,5 V (AA) batéria, nie je príslušenstvom 
 • rozmery: 30 x 30 cm</t>
        </is>
      </c>
    </row>
    <row r="2136">
      <c r="A2136" s="3" t="inlineStr">
        <is>
          <t>KAL 02</t>
        </is>
      </c>
      <c r="B2136" s="2" t="inlineStr">
        <is>
          <t>LED svietnik pyramída</t>
        </is>
      </c>
      <c r="C2136" s="1" t="n">
        <v>14.39</v>
      </c>
      <c r="D2136" s="7" t="n">
        <f>HYPERLINK("https://www.somogyi.sk/product/led-svietnik-pyramida-kal-02-18131","https://www.somogyi.sk/product/led-svietnik-pyramida-kal-02-18131")</f>
        <v>0.0</v>
      </c>
      <c r="E2136" s="7" t="n">
        <f>HYPERLINK("https://www.somogyi.sk/data/img/product_main_images/small/18131.jpg","https://www.somogyi.sk/data/img/product_main_images/small/18131.jpg")</f>
        <v>0.0</v>
      </c>
      <c r="F2136" s="2" t="inlineStr">
        <is>
          <t>5999084961534</t>
        </is>
      </c>
      <c r="G2136" s="4" t="inlineStr">
        <is>
          <t xml:space="preserve"> • na vnútorné použitie 
 • materiál: červený plast 
 • 7 ks teplých bielych stálych LED 
 • ON/TIMER (6h ON / 18h OFF) opakovanie časovača / OFF 
 • 10 cm výška sviečok 
 • napájanie: 2 x 1,5 V (AA) batéria (nie je príslušenstvom) 
 • rozmery: 41 x 27 cm</t>
        </is>
      </c>
    </row>
    <row r="2137">
      <c r="A2137" s="3" t="inlineStr">
        <is>
          <t>KID502M</t>
        </is>
      </c>
      <c r="B2137" s="2" t="inlineStr">
        <is>
          <t>LED dekorácia do okna, stromček, 6/18 h timer, s adaptérom, farebná</t>
        </is>
      </c>
      <c r="C2137" s="1" t="n">
        <v>10.59</v>
      </c>
      <c r="D2137" s="7" t="n">
        <f>HYPERLINK("https://www.somogyi.sk/product/led-dekoracia-do-okna-stromcek-6-18-h-timer-s-adapterom-farebna-kid502m-18597","https://www.somogyi.sk/product/led-dekoracia-do-okna-stromcek-6-18-h-timer-s-adapterom-farebna-kid502m-18597")</f>
        <v>0.0</v>
      </c>
      <c r="E2137" s="7" t="n">
        <f>HYPERLINK("https://www.somogyi.sk/data/img/product_main_images/small/18597.jpg","https://www.somogyi.sk/data/img/product_main_images/small/18597.jpg")</f>
        <v>0.0</v>
      </c>
      <c r="F2137" s="2" t="inlineStr">
        <is>
          <t>5999084966157</t>
        </is>
      </c>
      <c r="G2137" s="4" t="inlineStr">
        <is>
          <t xml:space="preserve"> • umiestnenie: na vonkajšie / vnútorné použitie 
 • zdroj svetla: LED 
 • počet zdrojov svetla: 35 ks 
 • farba zdrojov svetla: farebný 
 • časovač: 6h ON/18h OFF časovač 
 • ochrana proti vode: IP44 
 • farba kábla: biela farba 
 • rozmery: 33 x 28 cm 
 • dĺžka napájacieho kábla: 1,5 m 
 • napájanie: 230 V~  / 50 Hz adaptér 
 • príslušenstvo: 2 prísavky</t>
        </is>
      </c>
    </row>
    <row r="2138">
      <c r="A2138" s="3" t="inlineStr">
        <is>
          <t>KID 502 B/WW</t>
        </is>
      </c>
      <c r="B2138" s="2" t="inlineStr">
        <is>
          <t>LED dekorácia do okna, stromček</t>
        </is>
      </c>
      <c r="C2138" s="1" t="n">
        <v>6.09</v>
      </c>
      <c r="D2138" s="7" t="n">
        <f>HYPERLINK("https://www.somogyi.sk/product/led-dekoracia-do-okna-stromcek-kid-502-b-ww-17037","https://www.somogyi.sk/product/led-dekoracia-do-okna-stromcek-kid-502-b-ww-17037")</f>
        <v>0.0</v>
      </c>
      <c r="E2138" s="7" t="n">
        <f>HYPERLINK("https://www.somogyi.sk/data/img/product_main_images/small/17037.jpg","https://www.somogyi.sk/data/img/product_main_images/small/17037.jpg")</f>
        <v>0.0</v>
      </c>
      <c r="F2138" s="2" t="inlineStr">
        <is>
          <t>5999084950699</t>
        </is>
      </c>
      <c r="G2138" s="4" t="inlineStr">
        <is>
          <t xml:space="preserve"> • umiestnenie: na vnútorné použitie 
 • zdroj svetla: LED 
 • počet zdrojov svetla: 35 ks 
 • farba zdrojov svetla: teplá biela 
 • rozmery: 28 x 33 cm 
 • napájanie: 3 x 1,5 V (AA) batéria, nie je príslušenstvom 
 • ďalšie informácie: priebežná prevádzka alebo 6h ON/18h OFF časovač, 2 prísavky sú príslušenstvom</t>
        </is>
      </c>
    </row>
    <row r="2139">
      <c r="A2139" s="3" t="inlineStr">
        <is>
          <t>KID 413</t>
        </is>
      </c>
      <c r="B2139" s="2" t="inlineStr">
        <is>
          <t>LED dekorácia do okna, anjel, 19cm, 4,5V</t>
        </is>
      </c>
      <c r="C2139" s="1" t="n">
        <v>6.59</v>
      </c>
      <c r="D2139" s="7" t="n">
        <f>HYPERLINK("https://www.somogyi.sk/product/led-dekoracia-do-okna-anjel-19cm-4-5v-kid-413-12032","https://www.somogyi.sk/product/led-dekoracia-do-okna-anjel-19cm-4-5v-kid-413-12032")</f>
        <v>0.0</v>
      </c>
      <c r="E2139" s="7" t="n">
        <f>HYPERLINK("https://www.somogyi.sk/data/img/product_main_images/small/12032.jpg","https://www.somogyi.sk/data/img/product_main_images/small/12032.jpg")</f>
        <v>0.0</v>
      </c>
      <c r="F2139" s="2" t="inlineStr">
        <is>
          <t>5999084902445</t>
        </is>
      </c>
      <c r="G2139" s="4" t="inlineStr">
        <is>
          <t xml:space="preserve"> • umiestnenie: vnútorné použitie 
 • zdroj svetla: LED 
 • počet zdrojov svetla: 8 ks 
 • farba zdrojov svetla: teplá biela 
 • farba kábla: priesvitná 
 • rozmery: 19 cm 
 • napájanie: 3 x AAA batéria (nie je príslušenstvom) 
 • ďalšie informácie: puzdro na batérie s prísavkou</t>
        </is>
      </c>
    </row>
    <row r="2140">
      <c r="A2140" s="3" t="inlineStr">
        <is>
          <t>KID 701/WW</t>
        </is>
      </c>
      <c r="B2140" s="2" t="inlineStr">
        <is>
          <t>LED akrylová dekorácia do okna, snehová vločka, teplá biela</t>
        </is>
      </c>
      <c r="C2140" s="1" t="n">
        <v>10.19</v>
      </c>
      <c r="D2140" s="7" t="n">
        <f>HYPERLINK("https://www.somogyi.sk/product/led-akrylova-dekoracia-do-okna-snehova-vlocka-tepla-biela-kid-701-ww-17748","https://www.somogyi.sk/product/led-akrylova-dekoracia-do-okna-snehova-vlocka-tepla-biela-kid-701-ww-17748")</f>
        <v>0.0</v>
      </c>
      <c r="E2140" s="7" t="n">
        <f>HYPERLINK("https://www.somogyi.sk/data/img/product_main_images/small/17748.jpg","https://www.somogyi.sk/data/img/product_main_images/small/17748.jpg")</f>
        <v>0.0</v>
      </c>
      <c r="F2140" s="2" t="inlineStr">
        <is>
          <t>5999084957704</t>
        </is>
      </c>
      <c r="G2140" s="4" t="inlineStr">
        <is>
          <t xml:space="preserve"> • umiestnenie: na vnútorné použitie 
 • zdroj svetla: LED 
 • počet zdrojov svetla: 16 ks 
 • farba zdrojov svetla: teplá biela 
 • rozmery: 30 x 30 cm 
 • napájanie: 3 x AA batéria, nie je príslušenstvom 
 • ďalšie informácie: materiál: akryl</t>
        </is>
      </c>
    </row>
    <row r="2141">
      <c r="A2141" s="3" t="inlineStr">
        <is>
          <t>KID 314</t>
        </is>
      </c>
      <c r="B2141" s="2" t="inlineStr">
        <is>
          <t>LED dekorácia do okna</t>
        </is>
      </c>
      <c r="C2141" s="1" t="n">
        <v>10.59</v>
      </c>
      <c r="D2141" s="7" t="n">
        <f>HYPERLINK("https://www.somogyi.sk/product/led-dekoracia-do-okna-kid-314-12029","https://www.somogyi.sk/product/led-dekoracia-do-okna-kid-314-12029")</f>
        <v>0.0</v>
      </c>
      <c r="E2141" s="7" t="n">
        <f>HYPERLINK("https://www.somogyi.sk/data/img/product_main_images/small/12029.jpg","https://www.somogyi.sk/data/img/product_main_images/small/12029.jpg")</f>
        <v>0.0</v>
      </c>
      <c r="F2141" s="2" t="inlineStr">
        <is>
          <t>5999084902414</t>
        </is>
      </c>
      <c r="G2141" s="4" t="inlineStr">
        <is>
          <t xml:space="preserve"> • umiestnenie: vnútorné použitie 
 • zdroj svetla: LED 
 • počet zdrojov svetla: 10 ks 
 • farba zdrojov svetla: studená biela 
 • farba kábla: priesvitná 
 • rozmery: 20 x 16 cm 
 • napájanie: 3 x AAA rozmer (nie je príslušenstvom) 
 • ďalšie informácie: puzdro na batérie s prísavkou</t>
        </is>
      </c>
    </row>
    <row r="2142">
      <c r="A2142" s="3" t="inlineStr">
        <is>
          <t>KID502WW</t>
        </is>
      </c>
      <c r="B2142" s="2" t="inlineStr">
        <is>
          <t>LED dekorácia do okna, stromček, 6/18 h timer, s adaptérom, teplá biela</t>
        </is>
      </c>
      <c r="C2142" s="1" t="n">
        <v>10.59</v>
      </c>
      <c r="D2142" s="7" t="n">
        <f>HYPERLINK("https://www.somogyi.sk/product/led-dekoracia-do-okna-stromcek-6-18-h-timer-s-adapterom-tepla-biela-kid502ww-18595","https://www.somogyi.sk/product/led-dekoracia-do-okna-stromcek-6-18-h-timer-s-adapterom-tepla-biela-kid502ww-18595")</f>
        <v>0.0</v>
      </c>
      <c r="E2142" s="7" t="n">
        <f>HYPERLINK("https://www.somogyi.sk/data/img/product_main_images/small/18595.jpg","https://www.somogyi.sk/data/img/product_main_images/small/18595.jpg")</f>
        <v>0.0</v>
      </c>
      <c r="F2142" s="2" t="inlineStr">
        <is>
          <t>5999084966133</t>
        </is>
      </c>
      <c r="G2142" s="4" t="inlineStr">
        <is>
          <t xml:space="preserve"> • umiestnenie: na vonkajšie / vnútorné použitie 
 • zdroj svetla: LED 
 • počet zdrojov svetla: 35 ks 
 • farba zdrojov svetla: teplá biela 
 • časovač: 6h ON/18h OFF časovač 
 • ochrana proti vode: IP44 
 • farba kábla: biela farba 
 • rozmery: 33 x 28 cm 
 • dĺžka napájacieho kábla: 1,5 m 
 • napájanie: 230 V~  / 50 Hz adaptér 
 • príslušenstvo: 2 prísavky</t>
        </is>
      </c>
    </row>
    <row r="2143">
      <c r="A2143" s="6" t="inlineStr">
        <is>
          <t xml:space="preserve">   Vianočné dekoračné osvetlenie / Lampáš</t>
        </is>
      </c>
      <c r="B2143" s="6" t="inlineStr">
        <is>
          <t/>
        </is>
      </c>
      <c r="C2143" s="6" t="inlineStr">
        <is>
          <t/>
        </is>
      </c>
      <c r="D2143" s="6" t="inlineStr">
        <is>
          <t/>
        </is>
      </c>
      <c r="E2143" s="6" t="inlineStr">
        <is>
          <t/>
        </is>
      </c>
      <c r="F2143" s="6" t="inlineStr">
        <is>
          <t/>
        </is>
      </c>
      <c r="G2143" s="6" t="inlineStr">
        <is>
          <t/>
        </is>
      </c>
    </row>
    <row r="2144">
      <c r="A2144" s="3" t="inlineStr">
        <is>
          <t>LTN 18</t>
        </is>
      </c>
      <c r="B2144" s="2" t="inlineStr">
        <is>
          <t>Lampáš so snežítkom, trblietkami a snehuliakom</t>
        </is>
      </c>
      <c r="C2144" s="1" t="n">
        <v>19.79</v>
      </c>
      <c r="D2144" s="7" t="n">
        <f>HYPERLINK("https://www.somogyi.sk/product/lampas-so-snezitkom-trblietkami-a-snehuliakom-ltn-18-17346","https://www.somogyi.sk/product/lampas-so-snezitkom-trblietkami-a-snehuliakom-ltn-18-17346")</f>
        <v>0.0</v>
      </c>
      <c r="E2144" s="7" t="n">
        <f>HYPERLINK("https://www.somogyi.sk/data/img/product_main_images/small/17346.jpg","https://www.somogyi.sk/data/img/product_main_images/small/17346.jpg")</f>
        <v>0.0</v>
      </c>
      <c r="F2144" s="2" t="inlineStr">
        <is>
          <t>5999084953683</t>
        </is>
      </c>
      <c r="G2144" s="4" t="inlineStr">
        <is>
          <t xml:space="preserve"> • umiestnenie: na vnútorné použitie 
 • zdroj svetla: LED 
 • materiál: plastový 
 • počet zdrojov svetla: 3 
 • farba zdrojov svetla: červená, zelená, modrá 
 • rozmery: 10 x 19 x 10 cm 
 • napájanie: 3 x 1,5 V AA batéria (nie je príslušenstvom)</t>
        </is>
      </c>
    </row>
    <row r="2145">
      <c r="A2145" s="3" t="inlineStr">
        <is>
          <t>LTN 16</t>
        </is>
      </c>
      <c r="B2145" s="2" t="inlineStr">
        <is>
          <t>Lampáš so snežítkom, trblietkami, Mikulášom</t>
        </is>
      </c>
      <c r="C2145" s="1" t="n">
        <v>41.59</v>
      </c>
      <c r="D2145" s="7" t="n">
        <f>HYPERLINK("https://www.somogyi.sk/product/lampas-so-snezitkom-trblietkami-mikulasom-ltn-16-17340","https://www.somogyi.sk/product/lampas-so-snezitkom-trblietkami-mikulasom-ltn-16-17340")</f>
        <v>0.0</v>
      </c>
      <c r="E2145" s="7" t="n">
        <f>HYPERLINK("https://www.somogyi.sk/data/img/product_main_images/small/17340.jpg","https://www.somogyi.sk/data/img/product_main_images/small/17340.jpg")</f>
        <v>0.0</v>
      </c>
      <c r="F2145" s="2" t="inlineStr">
        <is>
          <t>5999084953621</t>
        </is>
      </c>
      <c r="G2145" s="4" t="inlineStr">
        <is>
          <t xml:space="preserve"> • umiestnenie: na vnútorné použitie 
 • zdroj svetla: LED 
 • materiál: plastový 
 • počet zdrojov svetla: 1 
 • farba zdrojov svetla: teplá biela 
 • rozmery: 16 x 26,5 x 8,8 cm 
 • napájanie: 3 x 1,5 V AA batéria (nie je príslušenstvom); adaptér: 4,5 V DC, nie je príslušenstvom 
 • ďalšie informácie: rozmery prípojky adaptéra: 3,5 x 1,35 mm</t>
        </is>
      </c>
    </row>
    <row r="2146">
      <c r="A2146" s="3" t="inlineStr">
        <is>
          <t>LTN 17</t>
        </is>
      </c>
      <c r="B2146" s="2" t="inlineStr">
        <is>
          <t>Lampáš so snežítkom, trblietkami, vojačikom</t>
        </is>
      </c>
      <c r="C2146" s="1" t="n">
        <v>30.69</v>
      </c>
      <c r="D2146" s="7" t="n">
        <f>HYPERLINK("https://www.somogyi.sk/product/lampas-so-snezitkom-trblietkami-vojacikom-ltn-17-17343","https://www.somogyi.sk/product/lampas-so-snezitkom-trblietkami-vojacikom-ltn-17-17343")</f>
        <v>0.0</v>
      </c>
      <c r="E2146" s="7" t="n">
        <f>HYPERLINK("https://www.somogyi.sk/data/img/product_main_images/small/17343.jpg","https://www.somogyi.sk/data/img/product_main_images/small/17343.jpg")</f>
        <v>0.0</v>
      </c>
      <c r="F2146" s="2" t="inlineStr">
        <is>
          <t>5999084953652</t>
        </is>
      </c>
      <c r="G2146" s="4" t="inlineStr">
        <is>
          <t xml:space="preserve"> • umiestnenie: na vnútorné použitie 
 • zdroj svetla: LED 
 • materiál: plastový 
 • počet zdrojov svetla: 1 
 • farba zdrojov svetla: teplá biela 
 • rozmery: 10,4 x 27 x 10,4 cm 
 • napájanie: 3 x 1,5 V AA batéria (nie je príslušenstvom); adaptér: 4,5 V DC, nie je príslušenstvom 
 • ďalšie informácie: rozmery prípojky adaptéra: 3,5 x 1,35 mm</t>
        </is>
      </c>
    </row>
    <row r="2147">
      <c r="A2147" s="3" t="inlineStr">
        <is>
          <t>LTN 14</t>
        </is>
      </c>
      <c r="B2147" s="2" t="inlineStr">
        <is>
          <t>Lampáš so snežítkom a trblietkami</t>
        </is>
      </c>
      <c r="C2147" s="1" t="n">
        <v>31.69</v>
      </c>
      <c r="D2147" s="7" t="n">
        <f>HYPERLINK("https://www.somogyi.sk/product/lampas-so-snezitkom-a-trblietkami-ltn-14-17000","https://www.somogyi.sk/product/lampas-so-snezitkom-a-trblietkami-ltn-14-17000")</f>
        <v>0.0</v>
      </c>
      <c r="E2147" s="7" t="n">
        <f>HYPERLINK("https://www.somogyi.sk/data/img/product_main_images/small/17000.jpg","https://www.somogyi.sk/data/img/product_main_images/small/17000.jpg")</f>
        <v>0.0</v>
      </c>
      <c r="F2147" s="2" t="inlineStr">
        <is>
          <t>5999084950323</t>
        </is>
      </c>
      <c r="G2147" s="4" t="inlineStr">
        <is>
          <t xml:space="preserve"> • umiestnenie: na vnútorné použitie 
 • zdroj svetla: LED 
 • materiál: plast 
 • počet zdrojov svetla: 1 
 • farba zdrojov svetla: teplá biela 
 • rozmery: 16,5 x 17 x 8 cm 
 • napájanie: 3 x 1,5 V (AA) batéria, nie je príslušenstvom 
 • ďalšie informácie: rozmery prípojky adaptéra: 3,5 x 1,35 mm</t>
        </is>
      </c>
    </row>
    <row r="2148">
      <c r="A2148" s="3" t="inlineStr">
        <is>
          <t>LTN 15</t>
        </is>
      </c>
      <c r="B2148" s="2" t="inlineStr">
        <is>
          <t>Lampáš so snežítkom a trblietkami</t>
        </is>
      </c>
      <c r="C2148" s="1" t="n">
        <v>30.79</v>
      </c>
      <c r="D2148" s="7" t="n">
        <f>HYPERLINK("https://www.somogyi.sk/product/lampas-so-snezitkom-a-trblietkami-ltn-15-17001","https://www.somogyi.sk/product/lampas-so-snezitkom-a-trblietkami-ltn-15-17001")</f>
        <v>0.0</v>
      </c>
      <c r="E2148" s="7" t="n">
        <f>HYPERLINK("https://www.somogyi.sk/data/img/product_main_images/small/17001.jpg","https://www.somogyi.sk/data/img/product_main_images/small/17001.jpg")</f>
        <v>0.0</v>
      </c>
      <c r="F2148" s="2" t="inlineStr">
        <is>
          <t>5999084950330</t>
        </is>
      </c>
      <c r="G2148" s="4" t="inlineStr">
        <is>
          <t xml:space="preserve"> • umiestnenie: na vnútorné použitie 
 • zdroj svetla: LED 
 • materiál: plast 
 • počet zdrojov svetla: 1 
 • farba zdrojov svetla: teplá biela 
 • rozmery: 13,5 x 11 x 26 cm 
 • napájanie: 3 x 1,5 V (AA) batéria, nie je príslušenstvom</t>
        </is>
      </c>
    </row>
    <row r="2149">
      <c r="A2149" s="6" t="inlineStr">
        <is>
          <t xml:space="preserve">   Vianočné dekoračné osvetlenie / Akrylové figúry</t>
        </is>
      </c>
      <c r="B2149" s="6" t="inlineStr">
        <is>
          <t/>
        </is>
      </c>
      <c r="C2149" s="6" t="inlineStr">
        <is>
          <t/>
        </is>
      </c>
      <c r="D2149" s="6" t="inlineStr">
        <is>
          <t/>
        </is>
      </c>
      <c r="E2149" s="6" t="inlineStr">
        <is>
          <t/>
        </is>
      </c>
      <c r="F2149" s="6" t="inlineStr">
        <is>
          <t/>
        </is>
      </c>
      <c r="G2149" s="6" t="inlineStr">
        <is>
          <t/>
        </is>
      </c>
    </row>
    <row r="2150">
      <c r="A2150" s="3" t="inlineStr">
        <is>
          <t>KDA 7</t>
        </is>
      </c>
      <c r="B2150" s="2" t="inlineStr">
        <is>
          <t>LED dekorácia sob</t>
        </is>
      </c>
      <c r="C2150" s="1" t="n">
        <v>49.39</v>
      </c>
      <c r="D2150" s="7" t="n">
        <f>HYPERLINK("https://www.somogyi.sk/product/led-dekoracia-sob-kda-7-14863","https://www.somogyi.sk/product/led-dekoracia-sob-kda-7-14863")</f>
        <v>0.0</v>
      </c>
      <c r="E2150" s="7" t="n">
        <f>HYPERLINK("https://www.somogyi.sk/data/img/product_main_images/small/14863.jpg","https://www.somogyi.sk/data/img/product_main_images/small/14863.jpg")</f>
        <v>0.0</v>
      </c>
      <c r="F2150" s="2" t="inlineStr">
        <is>
          <t>5999084929008</t>
        </is>
      </c>
      <c r="G2150" s="4" t="inlineStr">
        <is>
          <t xml:space="preserve"> • umiestnenie: vonkajšie / vnútorné použitie 
 • zdroj svetla: LED 
 • počet zdrojov svetla: 64 ks 
 • farba zdrojov svetla: studená biela 
 • rozmery: 34 cm 
 • napájanie: 230 V~ (adaptérové)</t>
        </is>
      </c>
    </row>
    <row r="2151">
      <c r="A2151" s="3" t="inlineStr">
        <is>
          <t>KDA 9</t>
        </is>
      </c>
      <c r="B2151" s="2" t="inlineStr">
        <is>
          <t>Snehuliak z akrylu, 90 cm</t>
        </is>
      </c>
      <c r="C2151" s="1" t="n">
        <v>124.9</v>
      </c>
      <c r="D2151" s="7" t="n">
        <f>HYPERLINK("https://www.somogyi.sk/product/snehuliak-z-akrylu-90-cm-kda-9-16484","https://www.somogyi.sk/product/snehuliak-z-akrylu-90-cm-kda-9-16484")</f>
        <v>0.0</v>
      </c>
      <c r="E2151" s="7" t="n">
        <f>HYPERLINK("https://www.somogyi.sk/data/img/product_main_images/small/16484.jpg","https://www.somogyi.sk/data/img/product_main_images/small/16484.jpg")</f>
        <v>0.0</v>
      </c>
      <c r="F2151" s="2" t="inlineStr">
        <is>
          <t>5999084945169</t>
        </is>
      </c>
      <c r="G2151" s="4" t="inlineStr">
        <is>
          <t xml:space="preserve"> • na vonkajšie a vnútorné použitie 
 • 80 ks studených / teplých bielych LED, možnosť vybrať 
 • maľovaná kovová konštrukcia s dekoráciou z akrylu 
 • figúrka z 3 častí 
 • napájací kábel: 10 m 
 • sieťový adaptér IP44 na vonkajšie použitie</t>
        </is>
      </c>
    </row>
    <row r="2152">
      <c r="A2152" s="3" t="inlineStr">
        <is>
          <t>KDA 11</t>
        </is>
      </c>
      <c r="B2152" s="2" t="inlineStr">
        <is>
          <t>Mikuláš z akrylu</t>
        </is>
      </c>
      <c r="C2152" s="1" t="n">
        <v>14.69</v>
      </c>
      <c r="D2152" s="7" t="n">
        <f>HYPERLINK("https://www.somogyi.sk/product/mikulas-z-akrylu-kda-11-16975","https://www.somogyi.sk/product/mikulas-z-akrylu-kda-11-16975")</f>
        <v>0.0</v>
      </c>
      <c r="E2152" s="7" t="n">
        <f>HYPERLINK("https://www.somogyi.sk/data/img/product_main_images/small/16975.jpg","https://www.somogyi.sk/data/img/product_main_images/small/16975.jpg")</f>
        <v>0.0</v>
      </c>
      <c r="F2152" s="2" t="inlineStr">
        <is>
          <t>5999084950071</t>
        </is>
      </c>
      <c r="G2152" s="4" t="inlineStr">
        <is>
          <t xml:space="preserve"> • umiestnenie: na vonkajšie / vnútorné použitie 
 • zdroj svetla: LED 
 • počet zdrojov svetla: 16 ks 
 • farba zdrojov svetla: studená biela 
 • rozmery: 16 x 23 x 10 cm 
 • napájanie: sieťový adaptér IP44 na vonkajšie použitie</t>
        </is>
      </c>
    </row>
    <row r="2153">
      <c r="A2153" s="3" t="inlineStr">
        <is>
          <t>KDA 30</t>
        </is>
      </c>
      <c r="B2153" s="2" t="inlineStr">
        <is>
          <t>Sob z akrylu, na vonkajšie použitie</t>
        </is>
      </c>
      <c r="C2153" s="1" t="n">
        <v>108.9</v>
      </c>
      <c r="D2153" s="7" t="n">
        <f>HYPERLINK("https://www.somogyi.sk/product/sob-z-akrylu-na-vonkajsie-pouzitie-kda-30-16499","https://www.somogyi.sk/product/sob-z-akrylu-na-vonkajsie-pouzitie-kda-30-16499")</f>
        <v>0.0</v>
      </c>
      <c r="E2153" s="7" t="n">
        <f>HYPERLINK("https://www.somogyi.sk/data/img/product_main_images/small/16499.jpg","https://www.somogyi.sk/data/img/product_main_images/small/16499.jpg")</f>
        <v>0.0</v>
      </c>
      <c r="F2153" s="2" t="inlineStr">
        <is>
          <t>5999084945312</t>
        </is>
      </c>
      <c r="G2153" s="4" t="inlineStr">
        <is>
          <t xml:space="preserve"> • na vonkajšie a vnútorné použitie 
 • 50 ks studených bielych / teplých bielych LED, možnosť nastaviť 
 • napájanie: sieťový adaptér IP44 na vonkajšie použitie</t>
        </is>
      </c>
    </row>
    <row r="2154">
      <c r="A2154" s="6" t="inlineStr">
        <is>
          <t xml:space="preserve">   Vianočné dekoračné osvetlenie / Dekorácia</t>
        </is>
      </c>
      <c r="B2154" s="6" t="inlineStr">
        <is>
          <t/>
        </is>
      </c>
      <c r="C2154" s="6" t="inlineStr">
        <is>
          <t/>
        </is>
      </c>
      <c r="D2154" s="6" t="inlineStr">
        <is>
          <t/>
        </is>
      </c>
      <c r="E2154" s="6" t="inlineStr">
        <is>
          <t/>
        </is>
      </c>
      <c r="F2154" s="6" t="inlineStr">
        <is>
          <t/>
        </is>
      </c>
      <c r="G2154" s="6" t="inlineStr">
        <is>
          <t/>
        </is>
      </c>
    </row>
    <row r="2155">
      <c r="A2155" s="3" t="inlineStr">
        <is>
          <t>DRM 13</t>
        </is>
      </c>
      <c r="B2155" s="2" t="inlineStr">
        <is>
          <t>Dekorácia, Mikuláš</t>
        </is>
      </c>
      <c r="C2155" s="1" t="n">
        <v>47.09</v>
      </c>
      <c r="D2155" s="7" t="n">
        <f>HYPERLINK("https://www.somogyi.sk/product/dekoracia-mikulas-drm-13-16991","https://www.somogyi.sk/product/dekoracia-mikulas-drm-13-16991")</f>
        <v>0.0</v>
      </c>
      <c r="E2155" s="7" t="n">
        <f>HYPERLINK("https://www.somogyi.sk/data/img/product_main_images/small/16991.jpg","https://www.somogyi.sk/data/img/product_main_images/small/16991.jpg")</f>
        <v>0.0</v>
      </c>
      <c r="F2155" s="2" t="inlineStr">
        <is>
          <t>5999084950231</t>
        </is>
      </c>
      <c r="G2155" s="4" t="inlineStr">
        <is>
          <t xml:space="preserve"> • umiestnenie: na vnútorné použitie 
 • zdroj svetla: LED 
 • farba zdrojov svetla: farebná 
 • rozmery: 24 x 31 x 15 cm 
 • napájanie: 3 x 1,5 V (AA) batéria, nie je príslušenstvom</t>
        </is>
      </c>
    </row>
    <row r="2156">
      <c r="A2156" s="3" t="inlineStr">
        <is>
          <t>DRM 10</t>
        </is>
      </c>
      <c r="B2156" s="2" t="inlineStr">
        <is>
          <t>Dekorácia vianočná dedinka, sane, deti</t>
        </is>
      </c>
      <c r="C2156" s="1" t="n">
        <v>76.99</v>
      </c>
      <c r="D2156" s="7" t="n">
        <f>HYPERLINK("https://www.somogyi.sk/product/dekoracia-vianocna-dedinka-sane-deti-drm-10-16058","https://www.somogyi.sk/product/dekoracia-vianocna-dedinka-sane-deti-drm-10-16058")</f>
        <v>0.0</v>
      </c>
      <c r="E2156" s="7" t="n">
        <f>HYPERLINK("https://www.somogyi.sk/data/img/product_main_images/small/16058.jpg","https://www.somogyi.sk/data/img/product_main_images/small/16058.jpg")</f>
        <v>0.0</v>
      </c>
      <c r="F2156" s="2" t="inlineStr">
        <is>
          <t>5999084940904</t>
        </is>
      </c>
      <c r="G2156" s="4" t="inlineStr">
        <is>
          <t xml:space="preserve"> • materiál: plast 
 • umiestnenie: na vnútorné použitie 
 • rozmery: 31 x 20 x 19,5 cm 
 • napájanie: 3 x AA batéria, nie je príslušenstvom</t>
        </is>
      </c>
    </row>
    <row r="2157">
      <c r="A2157" s="3" t="inlineStr">
        <is>
          <t>KT 250/BL</t>
        </is>
      </c>
      <c r="B2157" s="2" t="inlineStr">
        <is>
          <t>Vianočná deka pod stromček, modrá</t>
        </is>
      </c>
      <c r="C2157" s="1" t="n">
        <v>1.99</v>
      </c>
      <c r="D2157" s="7" t="n">
        <f>HYPERLINK("https://www.somogyi.sk/product/vianocna-deka-pod-stromcek-modra-kt-250-bl-9951","https://www.somogyi.sk/product/vianocna-deka-pod-stromcek-modra-kt-250-bl-9951")</f>
        <v>0.0</v>
      </c>
      <c r="E2157" s="7" t="n">
        <f>HYPERLINK("https://www.somogyi.sk/data/img/product_main_images/small/09951.jpg","https://www.somogyi.sk/data/img/product_main_images/small/09951.jpg")</f>
        <v>0.0</v>
      </c>
      <c r="F2157" s="2" t="inlineStr">
        <is>
          <t>5998312786673</t>
        </is>
      </c>
      <c r="G2157" s="4" t="inlineStr">
        <is>
          <t xml:space="preserve"> • umiestnenie: vnútorné použitie 
 • ďalšie informácie: nie tkaný materiál, ale fleecový materiál, doporučené k stromčeku vysokému max.  250 cm, modrý základ, strieborno-sivé hviezdy</t>
        </is>
      </c>
    </row>
    <row r="2158">
      <c r="A2158" s="3" t="inlineStr">
        <is>
          <t>MRLC 6/T</t>
        </is>
      </c>
      <c r="B2158" s="2" t="inlineStr">
        <is>
          <t>Svietiaci reťazec so zrkadlovým efektom, stromček</t>
        </is>
      </c>
      <c r="C2158" s="1" t="n">
        <v>1.89</v>
      </c>
      <c r="D2158" s="7" t="n">
        <f>HYPERLINK("https://www.somogyi.sk/product/svietiaci-retazec-so-zrkadlovym-efektom-stromcek-mrlc-6-t-16035","https://www.somogyi.sk/product/svietiaci-retazec-so-zrkadlovym-efektom-stromcek-mrlc-6-t-16035")</f>
        <v>0.0</v>
      </c>
      <c r="E2158" s="7" t="n">
        <f>HYPERLINK("https://www.somogyi.sk/data/img/product_main_images/small/16035.jpg","https://www.somogyi.sk/data/img/product_main_images/small/16035.jpg")</f>
        <v>0.0</v>
      </c>
      <c r="F2158" s="2" t="inlineStr">
        <is>
          <t>5999084940676</t>
        </is>
      </c>
      <c r="G2158" s="4" t="inlineStr">
        <is>
          <t xml:space="preserve"> • umiestnenie: na vnútorné použitie 
 • zdroj svetla: LED 
 • počet zdrojov svetla: 6 ks dekorácií, 12 ks LED / dekorácia 
 • farba zdrojov svetla: zelená 
 • farba kábla: transparentný 
 • rozmery: 1 m 
 • napájanie: 3 x 1,5 V (AA) batéria, nie je príslušenstvom 
 • ďalšie informácie: tunelový LED efekt na oboch stranách dekorácie</t>
        </is>
      </c>
    </row>
    <row r="2159">
      <c r="A2159" s="3" t="inlineStr">
        <is>
          <t>KID 66</t>
        </is>
      </c>
      <c r="B2159" s="2" t="inlineStr">
        <is>
          <t>LED guľa so snehuliakom</t>
        </is>
      </c>
      <c r="C2159" s="1" t="n">
        <v>4.09</v>
      </c>
      <c r="D2159" s="7" t="n">
        <f>HYPERLINK("https://www.somogyi.sk/product/led-gula-so-snehuliakom-kid-66-16015","https://www.somogyi.sk/product/led-gula-so-snehuliakom-kid-66-16015")</f>
        <v>0.0</v>
      </c>
      <c r="E2159" s="7" t="n">
        <f>HYPERLINK("https://www.somogyi.sk/data/img/product_main_images/small/16015.jpg","https://www.somogyi.sk/data/img/product_main_images/small/16015.jpg")</f>
        <v>0.0</v>
      </c>
      <c r="F2159" s="2" t="inlineStr">
        <is>
          <t>5999084940478</t>
        </is>
      </c>
      <c r="G2159" s="4" t="inlineStr">
        <is>
          <t xml:space="preserve"> • zdroj svetla: LED 
 • počet zdrojov svetla: 1 ks 
 • farba zdrojov svetla: červená 
 • rozmery: Ø6,5 cm 
 • napájanie: 3 x LR44 gombíková batéria (je príslušenstvom) 
 • ďalšie informácie: 16 ks / displej</t>
        </is>
      </c>
    </row>
    <row r="2160">
      <c r="A2160" s="3" t="inlineStr">
        <is>
          <t>KID 65</t>
        </is>
      </c>
      <c r="B2160" s="2" t="inlineStr">
        <is>
          <t>LED guľa so snehuliakom</t>
        </is>
      </c>
      <c r="C2160" s="1" t="n">
        <v>4.09</v>
      </c>
      <c r="D2160" s="7" t="n">
        <f>HYPERLINK("https://www.somogyi.sk/product/led-gula-so-snehuliakom-kid-65-16014","https://www.somogyi.sk/product/led-gula-so-snehuliakom-kid-65-16014")</f>
        <v>0.0</v>
      </c>
      <c r="E2160" s="7" t="n">
        <f>HYPERLINK("https://www.somogyi.sk/data/img/product_main_images/small/16014.jpg","https://www.somogyi.sk/data/img/product_main_images/small/16014.jpg")</f>
        <v>0.0</v>
      </c>
      <c r="F2160" s="2" t="inlineStr">
        <is>
          <t>5999084940461</t>
        </is>
      </c>
      <c r="G2160" s="4" t="inlineStr">
        <is>
          <t xml:space="preserve"> • umiestnenie: na vnútorné použitie 
 • zdroj svetla: LED 
 • počet zdrojov svetla: 1 ks 
 • farba zdrojov svetla: červená 
 • rozmery: Ø6,5 cm 
 • napájanie: 3 x LR44 gombíková batéria (je príslušenstvom) 
 • ďalšie informácie: 16 ks / displej</t>
        </is>
      </c>
    </row>
    <row r="2161">
      <c r="A2161" s="3" t="inlineStr">
        <is>
          <t>GLE 20/WW</t>
        </is>
      </c>
      <c r="B2161" s="2" t="inlineStr">
        <is>
          <t>Dekorácia, EVA guľa</t>
        </is>
      </c>
      <c r="C2161" s="1" t="n">
        <v>18.59</v>
      </c>
      <c r="D2161" s="7" t="n">
        <f>HYPERLINK("https://www.somogyi.sk/product/dekoracia-eva-gula-gle-20-ww-14730","https://www.somogyi.sk/product/dekoracia-eva-gula-gle-20-ww-14730")</f>
        <v>0.0</v>
      </c>
      <c r="E2161" s="7" t="n">
        <f>HYPERLINK("https://www.somogyi.sk/data/img/product_main_images/small/14730.jpg","https://www.somogyi.sk/data/img/product_main_images/small/14730.jpg")</f>
        <v>0.0</v>
      </c>
      <c r="F2161" s="2" t="inlineStr">
        <is>
          <t>5999084927721</t>
        </is>
      </c>
      <c r="G2161" s="4" t="inlineStr">
        <is>
          <t xml:space="preserve"> • umiestnenie: vnútorné použitie 
 • zdroj svetla: LED 
 • počet zdrojov svetla: 2 ks 
 • farba zdrojov svetla: teplá biela 
 • rozmery: Ø20 cm 
 • napájanie: 3 x AA batéria (nie je príslušenstvom) 
 • ďalšie informácie: základný materiál z pružného EVA materiálu</t>
        </is>
      </c>
    </row>
    <row r="2162">
      <c r="A2162" s="3" t="inlineStr">
        <is>
          <t>KAD 28</t>
        </is>
      </c>
      <c r="B2162" s="2" t="inlineStr">
        <is>
          <t>LED dekorácia na stôl, stromček, neon-light, teplá biela</t>
        </is>
      </c>
      <c r="C2162" s="1" t="n">
        <v>6.09</v>
      </c>
      <c r="D2162" s="7" t="n">
        <f>HYPERLINK("https://www.somogyi.sk/product/led-dekoracia-na-stol-stromcek-neon-light-tepla-biela-kad-28-16504","https://www.somogyi.sk/product/led-dekoracia-na-stol-stromcek-neon-light-tepla-biela-kad-28-16504")</f>
        <v>0.0</v>
      </c>
      <c r="E2162" s="7" t="n">
        <f>HYPERLINK("https://www.somogyi.sk/data/img/product_main_images/small/16504.jpg","https://www.somogyi.sk/data/img/product_main_images/small/16504.jpg")</f>
        <v>0.0</v>
      </c>
      <c r="F2162" s="2" t="inlineStr">
        <is>
          <t>5999084945367</t>
        </is>
      </c>
      <c r="G2162" s="4" t="inlineStr">
        <is>
          <t xml:space="preserve"> • umiestnenie: na vnútorné použitie 
 • zdroj svetla: LED neon-light pásik 
 • počet zdrojov svetla: 1 ks 
 • farba zdrojov svetla: teplá biela 
 • rozmery: 21 x 23  x 2 cm 
 • napájanie: 3 x 1,5 V (AA) batéria, nie je príslušenstvom</t>
        </is>
      </c>
    </row>
    <row r="2163">
      <c r="A2163" s="3" t="inlineStr">
        <is>
          <t>KDD28</t>
        </is>
      </c>
      <c r="B2163" s="2" t="inlineStr">
        <is>
          <t>LED dekorácia, škriatok</t>
        </is>
      </c>
      <c r="C2163" s="1" t="n">
        <v>7.69</v>
      </c>
      <c r="D2163" s="7" t="n">
        <f>HYPERLINK("https://www.somogyi.sk/product/led-dekoracia-skriatok-kdd28-18603","https://www.somogyi.sk/product/led-dekoracia-skriatok-kdd28-18603")</f>
        <v>0.0</v>
      </c>
      <c r="E2163" s="7" t="n">
        <f>HYPERLINK("https://www.somogyi.sk/data/img/product_main_images/small/18603.jpg","https://www.somogyi.sk/data/img/product_main_images/small/18603.jpg")</f>
        <v>0.0</v>
      </c>
      <c r="F2163" s="2" t="inlineStr">
        <is>
          <t>5999084966218</t>
        </is>
      </c>
      <c r="G2163" s="4" t="inlineStr">
        <is>
          <t xml:space="preserve"> • umiestnenie: na vnútorné použitie 
 • zdroj svetla: LED 
 • farba zdrojov svetla: teplá biela 
 • za/vypínač: áno 
 • rozmery: 10 x 10 x 28 cm 
 • napájanie: 2 x 1,5V (AA) batéria, nie je príslušenstvom</t>
        </is>
      </c>
    </row>
    <row r="2164">
      <c r="A2164" s="3" t="inlineStr">
        <is>
          <t>KDC 17</t>
        </is>
      </c>
      <c r="B2164" s="2" t="inlineStr">
        <is>
          <t>LED keramická dekorácia na stôl, sob</t>
        </is>
      </c>
      <c r="C2164" s="1" t="n">
        <v>4.29</v>
      </c>
      <c r="D2164" s="7" t="n">
        <f>HYPERLINK("https://www.somogyi.sk/product/led-keramicka-dekoracia-na-stol-sob-kdc-17-16043","https://www.somogyi.sk/product/led-keramicka-dekoracia-na-stol-sob-kdc-17-16043")</f>
        <v>0.0</v>
      </c>
      <c r="E2164" s="7" t="n">
        <f>HYPERLINK("https://www.somogyi.sk/data/img/product_main_images/small/16043.jpg","https://www.somogyi.sk/data/img/product_main_images/small/16043.jpg")</f>
        <v>0.0</v>
      </c>
      <c r="F2164" s="2" t="inlineStr">
        <is>
          <t>5999084940751</t>
        </is>
      </c>
      <c r="G2164" s="4" t="inlineStr">
        <is>
          <t xml:space="preserve"> • umiestnenie: na vnútorné použitie 
 • zdroj svetla: LED 
 • počet zdrojov svetla: 4 ks 
 • farba zdrojov svetla: teplá biela 
 • rozmery: 9 x 17 x 5 cm 
 • napájanie: 2 x LR44 gombíková batéria  (je príslušenstvom) 
 • ďalšie informácie: so svietiacimi EVA guľami</t>
        </is>
      </c>
    </row>
    <row r="2165">
      <c r="A2165" s="3" t="inlineStr">
        <is>
          <t>KDR 1</t>
        </is>
      </c>
      <c r="B2165" s="2" t="inlineStr">
        <is>
          <t>LED sob, Rudolf</t>
        </is>
      </c>
      <c r="C2165" s="1" t="n">
        <v>135.9</v>
      </c>
      <c r="D2165" s="7" t="n">
        <f>HYPERLINK("https://www.somogyi.sk/product/led-sob-rudolf-kdr-1-18127","https://www.somogyi.sk/product/led-sob-rudolf-kdr-1-18127")</f>
        <v>0.0</v>
      </c>
      <c r="E2165" s="7" t="n">
        <f>HYPERLINK("https://www.somogyi.sk/data/img/product_main_images/small/18127.jpg","https://www.somogyi.sk/data/img/product_main_images/small/18127.jpg")</f>
        <v>0.0</v>
      </c>
      <c r="F2165" s="2" t="inlineStr">
        <is>
          <t>5999084961497</t>
        </is>
      </c>
      <c r="G2165" s="4" t="inlineStr">
        <is>
          <t xml:space="preserve"> • na vonkajšie a vnútorné použitie 
 • materiál: kovový rám a umelý ratan 
 • 100 ks teplých bielych, stálych LED 
 • 5 m napájací kábel 
 • napájanie: sieťový adaptér IP44 na vonkajšie použitie je príslušenstvom 
 • rozmery: 70 x 120 x 24 cm</t>
        </is>
      </c>
    </row>
    <row r="2166">
      <c r="A2166" s="3" t="inlineStr">
        <is>
          <t>CDM16</t>
        </is>
      </c>
      <c r="B2166" s="2" t="inlineStr">
        <is>
          <t>LED dekorácia, anjel</t>
        </is>
      </c>
      <c r="C2166" s="1" t="n">
        <v>4.19</v>
      </c>
      <c r="D2166" s="7" t="n">
        <f>HYPERLINK("https://www.somogyi.sk/product/led-dekoracia-anjel-cdm16-18584","https://www.somogyi.sk/product/led-dekoracia-anjel-cdm16-18584")</f>
        <v>0.0</v>
      </c>
      <c r="E2166" s="7" t="n">
        <f>HYPERLINK("https://www.somogyi.sk/data/img/product_main_images/small/18584.jpg","https://www.somogyi.sk/data/img/product_main_images/small/18584.jpg")</f>
        <v>0.0</v>
      </c>
      <c r="F2166" s="2" t="inlineStr">
        <is>
          <t>5999084966027</t>
        </is>
      </c>
      <c r="G2166" s="4" t="inlineStr">
        <is>
          <t xml:space="preserve"> • materiál: akryl 
 • umiestnenie: na vnútorné použitie 
 • zdroj svetla: LED 
 • farba zdrojov svetla: teplá biela 
 • za/vypínač: áno 
 • charakteristiky: 2 druhy akrylových anjelikov 
 • rozmery: 6,3 x 11 x 6 cm 
 • napájanie: 1x3 V (CR2032) gombíková batéria, je príslušenstvom 
 • balenie: 12 anjelov/displej</t>
        </is>
      </c>
    </row>
    <row r="2167">
      <c r="A2167" s="3" t="inlineStr">
        <is>
          <t>KAD 20 STAR</t>
        </is>
      </c>
      <c r="B2167" s="2" t="inlineStr">
        <is>
          <t>LED stolová dekorácia, hviezda 4,5V</t>
        </is>
      </c>
      <c r="C2167" s="1" t="n">
        <v>11.89</v>
      </c>
      <c r="D2167" s="7" t="n">
        <f>HYPERLINK("https://www.somogyi.sk/product/led-stolova-dekoracia-hviezda-4-5v-kad-20-star-14868","https://www.somogyi.sk/product/led-stolova-dekoracia-hviezda-4-5v-kad-20-star-14868")</f>
        <v>0.0</v>
      </c>
      <c r="E2167" s="7" t="n">
        <f>HYPERLINK("https://www.somogyi.sk/data/img/product_main_images/small/14868.jpg","https://www.somogyi.sk/data/img/product_main_images/small/14868.jpg")</f>
        <v>0.0</v>
      </c>
      <c r="F2167" s="2" t="inlineStr">
        <is>
          <t>5999084929053</t>
        </is>
      </c>
      <c r="G2167" s="4" t="inlineStr">
        <is>
          <t xml:space="preserve"> • umiestnenie: vnútorné použitie 
 • zdroj svetla: LED 
 • počet zdrojov svetla: 20 ks 
 • farba zdrojov svetla: teplá biela 
 • rozmery: 39 cm 
 • napájanie: 3 x AA batéria (nie je príslušenstvom) 
 • ďalšie informácie: ABS plast</t>
        </is>
      </c>
    </row>
    <row r="2168">
      <c r="A2168" s="3" t="inlineStr">
        <is>
          <t>DRM 16</t>
        </is>
      </c>
      <c r="B2168" s="2" t="inlineStr">
        <is>
          <t>Dekorácia, biely domček</t>
        </is>
      </c>
      <c r="C2168" s="1" t="n">
        <v>85.79</v>
      </c>
      <c r="D2168" s="7" t="n">
        <f>HYPERLINK("https://www.somogyi.sk/product/dekoracia-biely-domcek-drm-16-17369","https://www.somogyi.sk/product/dekoracia-biely-domcek-drm-16-17369")</f>
        <v>0.0</v>
      </c>
      <c r="E2168" s="7" t="n">
        <f>HYPERLINK("https://www.somogyi.sk/data/img/product_main_images/small/17369.jpg","https://www.somogyi.sk/data/img/product_main_images/small/17369.jpg")</f>
        <v>0.0</v>
      </c>
      <c r="F2168" s="2" t="inlineStr">
        <is>
          <t>5999084953911</t>
        </is>
      </c>
      <c r="G2168" s="4" t="inlineStr">
        <is>
          <t xml:space="preserve"> • umiestnenie: na vnútorné použitie 
 • zdroj svetla: LED 
 • farba zdrojov svetla: biela farba 
 • napájanie: sieťový adaptér na vnútorné použitie je príslušenstvom</t>
        </is>
      </c>
    </row>
    <row r="2169">
      <c r="A2169" s="3" t="inlineStr">
        <is>
          <t>ROPE 1</t>
        </is>
      </c>
      <c r="B2169" s="2" t="inlineStr">
        <is>
          <t>Sob rope-light, 85x98,5 cm</t>
        </is>
      </c>
      <c r="C2169" s="1" t="n">
        <v>80.19</v>
      </c>
      <c r="D2169" s="7" t="n">
        <f>HYPERLINK("https://www.somogyi.sk/product/sob-rope-light-85x98-5-cm-rope-1-17744","https://www.somogyi.sk/product/sob-rope-light-85x98-5-cm-rope-1-17744")</f>
        <v>0.0</v>
      </c>
      <c r="E2169" s="7" t="n">
        <f>HYPERLINK("https://www.somogyi.sk/data/img/product_main_images/small/17744.jpg","https://www.somogyi.sk/data/img/product_main_images/small/17744.jpg")</f>
        <v>0.0</v>
      </c>
      <c r="F2169" s="2" t="inlineStr">
        <is>
          <t>5999084957667</t>
        </is>
      </c>
      <c r="G2169" s="4" t="inlineStr">
        <is>
          <t xml:space="preserve"> • umiestnenie: na vonkajšie / vnútorné použitie 
 • zdroj svetla: LED 
 • farba zdrojov svetla: jantárová 
 • farba kábla: čierny gumový kábel (1,5 m) 
 • napájanie: 230 V~ / 50 Hz (vonkajšia IP44 pripojovacia vidlica)</t>
        </is>
      </c>
    </row>
    <row r="2170">
      <c r="A2170" s="3" t="inlineStr">
        <is>
          <t>KDD 41</t>
        </is>
      </c>
      <c r="B2170" s="2" t="inlineStr">
        <is>
          <t>Škriatok, so svietiacou bradou, 41 cm</t>
        </is>
      </c>
      <c r="C2170" s="1" t="n">
        <v>16.29</v>
      </c>
      <c r="D2170" s="7" t="n">
        <f>HYPERLINK("https://www.somogyi.sk/product/skriatok-so-svietiacou-bradou-41-cm-kdd-41-16558","https://www.somogyi.sk/product/skriatok-so-svietiacou-bradou-41-cm-kdd-41-16558")</f>
        <v>0.0</v>
      </c>
      <c r="E2170" s="7" t="n">
        <f>HYPERLINK("https://www.somogyi.sk/data/img/product_main_images/small/16558.jpg","https://www.somogyi.sk/data/img/product_main_images/small/16558.jpg")</f>
        <v>0.0</v>
      </c>
      <c r="F2170" s="2" t="inlineStr">
        <is>
          <t>5999084945909</t>
        </is>
      </c>
      <c r="G2170" s="4" t="inlineStr">
        <is>
          <t xml:space="preserve"> • umiestnenie: na vnútorné použitie 
 • zdroj svetla: 3 ks blikajúcich, teplých bielych LED 
 • počet zdrojov svetla: 3 ks 
 • farba zdrojov svetla: teplá biela 
 • rozmery: 31 x 41 x 18 cm 
 • napájanie: 2 x 3 V (CR2032) batéria, je príslušenstvom</t>
        </is>
      </c>
    </row>
    <row r="2171">
      <c r="A2171" s="3" t="inlineStr">
        <is>
          <t>DRM 15</t>
        </is>
      </c>
      <c r="B2171" s="2" t="inlineStr">
        <is>
          <t>Dekorácia zasnežený dom</t>
        </is>
      </c>
      <c r="C2171" s="1" t="n">
        <v>51.39</v>
      </c>
      <c r="D2171" s="7" t="n">
        <f>HYPERLINK("https://www.somogyi.sk/product/dekoracia-zasnezeny-dom-drm-15-17368","https://www.somogyi.sk/product/dekoracia-zasnezeny-dom-drm-15-17368")</f>
        <v>0.0</v>
      </c>
      <c r="E2171" s="7" t="n">
        <f>HYPERLINK("https://www.somogyi.sk/data/img/product_main_images/small/17368.jpg","https://www.somogyi.sk/data/img/product_main_images/small/17368.jpg")</f>
        <v>0.0</v>
      </c>
      <c r="F2171" s="2" t="inlineStr">
        <is>
          <t>5999084953904</t>
        </is>
      </c>
      <c r="G2171" s="4" t="inlineStr">
        <is>
          <t xml:space="preserve"> • na vnútorné použitie 
 • farebné LED 
 • sane so sobom 
 • napájanie: 3 x 1,5 V (AA) batéria, nie je príslušenstvom</t>
        </is>
      </c>
    </row>
    <row r="2172">
      <c r="A2172" s="3" t="inlineStr">
        <is>
          <t>DRM 8</t>
        </is>
      </c>
      <c r="B2172" s="2" t="inlineStr">
        <is>
          <t>Dekorácia vianočná dedinka s fotografom a vláčikom</t>
        </is>
      </c>
      <c r="C2172" s="1" t="n">
        <v>60.79</v>
      </c>
      <c r="D2172" s="7" t="n">
        <f>HYPERLINK("https://www.somogyi.sk/product/dekoracia-vianocna-dedinka-s-fotografom-a-vlacikom-drm-8-16056","https://www.somogyi.sk/product/dekoracia-vianocna-dedinka-s-fotografom-a-vlacikom-drm-8-16056")</f>
        <v>0.0</v>
      </c>
      <c r="E2172" s="7" t="n">
        <f>HYPERLINK("https://www.somogyi.sk/data/img/product_main_images/small/16056.jpg","https://www.somogyi.sk/data/img/product_main_images/small/16056.jpg")</f>
        <v>0.0</v>
      </c>
      <c r="F2172" s="2" t="inlineStr">
        <is>
          <t>5999084940881</t>
        </is>
      </c>
      <c r="G2172" s="4" t="inlineStr">
        <is>
          <t xml:space="preserve"> • materiál: plast 
 • umiestnenie: na vnútorné použitie 
 • rozmery: 19,3 x 21,2 x 17,9 cm 
 • napájanie: 3 x AA batéria, nie je príslušenstvom</t>
        </is>
      </c>
    </row>
    <row r="2173">
      <c r="A2173" s="3" t="inlineStr">
        <is>
          <t>KDC 25</t>
        </is>
      </c>
      <c r="B2173" s="2" t="inlineStr">
        <is>
          <t>Keramická-plyšová dekorácia</t>
        </is>
      </c>
      <c r="C2173" s="1" t="n">
        <v>34.89</v>
      </c>
      <c r="D2173" s="7" t="n">
        <f>HYPERLINK("https://www.somogyi.sk/product/keramicka-plysova-dekoracia-kdc-25-16993","https://www.somogyi.sk/product/keramicka-plysova-dekoracia-kdc-25-16993")</f>
        <v>0.0</v>
      </c>
      <c r="E2173" s="7" t="n">
        <f>HYPERLINK("https://www.somogyi.sk/data/img/product_main_images/small/16993.jpg","https://www.somogyi.sk/data/img/product_main_images/small/16993.jpg")</f>
        <v>0.0</v>
      </c>
      <c r="F2173" s="2" t="inlineStr">
        <is>
          <t>5999084950255</t>
        </is>
      </c>
      <c r="G2173" s="4" t="inlineStr">
        <is>
          <t xml:space="preserve"> • umiestnenie: na vnútorné použitie 
 • zdroj svetla: LED 
 • počet zdrojov svetla: 1 ks 
 • farba zdrojov svetla: teplá biela 
 • rozmery: 24,5 x 61 x 22,5 cm 
 • napájanie: 3 x AA batéria (nie je príslušenstvom)</t>
        </is>
      </c>
    </row>
    <row r="2174">
      <c r="A2174" s="3" t="inlineStr">
        <is>
          <t>KDCA 15</t>
        </is>
      </c>
      <c r="B2174" s="2" t="inlineStr">
        <is>
          <t>Keramická figúrka, biele autíčko so stromčekom</t>
        </is>
      </c>
      <c r="C2174" s="1" t="n">
        <v>13.29</v>
      </c>
      <c r="D2174" s="7" t="n">
        <f>HYPERLINK("https://www.somogyi.sk/product/keramicka-figurka-biele-auticko-so-stromcekom-kdca-15-16566","https://www.somogyi.sk/product/keramicka-figurka-biele-auticko-so-stromcekom-kdca-15-16566")</f>
        <v>0.0</v>
      </c>
      <c r="E2174" s="7" t="n">
        <f>HYPERLINK("https://www.somogyi.sk/data/img/product_main_images/small/16566.jpg","https://www.somogyi.sk/data/img/product_main_images/small/16566.jpg")</f>
        <v>0.0</v>
      </c>
      <c r="F2174" s="2" t="inlineStr">
        <is>
          <t>5999084945985</t>
        </is>
      </c>
      <c r="G2174" s="4" t="inlineStr">
        <is>
          <t xml:space="preserve"> • umiestnenie: na vnútorné použitie 
 • zdroj svetla: 11 ks teplých bielych LED 
 • počet zdrojov svetla: 11 ks 
 • farba zdrojov svetla: teplá biela 
 • rozmery: 18,5 x 15 x 11,5 cm 
 • napájanie: 2 x 1,5 V (AAA) batéria, nie je príslušenstvom</t>
        </is>
      </c>
    </row>
    <row r="2175">
      <c r="A2175" s="3" t="inlineStr">
        <is>
          <t>MRL 22/T</t>
        </is>
      </c>
      <c r="B2175" s="2" t="inlineStr">
        <is>
          <t>LED dekorácia na stôl so zrkadlovým efektom, stromček</t>
        </is>
      </c>
      <c r="C2175" s="1" t="n">
        <v>2.99</v>
      </c>
      <c r="D2175" s="7" t="n">
        <f>HYPERLINK("https://www.somogyi.sk/product/led-dekoracia-na-stol-so-zrkadlovym-efektom-stromcek-mrl-22-t-16034","https://www.somogyi.sk/product/led-dekoracia-na-stol-so-zrkadlovym-efektom-stromcek-mrl-22-t-16034")</f>
        <v>0.0</v>
      </c>
      <c r="E2175" s="7" t="n">
        <f>HYPERLINK("https://www.somogyi.sk/data/img/product_main_images/small/16034.jpg","https://www.somogyi.sk/data/img/product_main_images/small/16034.jpg")</f>
        <v>0.0</v>
      </c>
      <c r="F2175" s="2" t="inlineStr">
        <is>
          <t>5999084940669</t>
        </is>
      </c>
      <c r="G2175" s="4" t="inlineStr">
        <is>
          <t xml:space="preserve"> • umiestnenie: na vnútorné použitie 
 • zdroj svetla: LED 
 • počet zdrojov svetla: 56 ks 
 • farba zdrojov svetla: zelená 
 • rozmery: 22,5 x 22 x 5 cm 
 • napájanie: 3 x AA batéria, je príslušenstvom 
 • ďalšie informácie: tunelový LED efekt</t>
        </is>
      </c>
    </row>
    <row r="2176">
      <c r="A2176" s="3" t="inlineStr">
        <is>
          <t>MRLC 6/S</t>
        </is>
      </c>
      <c r="B2176" s="2" t="inlineStr">
        <is>
          <t>LED dekorácia na stôl so zrkadlovým efektom, hviezda</t>
        </is>
      </c>
      <c r="C2176" s="1" t="n">
        <v>1.89</v>
      </c>
      <c r="D2176" s="7" t="n">
        <f>HYPERLINK("https://www.somogyi.sk/product/led-dekoracia-na-stol-so-zrkadlovym-efektom-hviezda-mrlc-6-s-16036","https://www.somogyi.sk/product/led-dekoracia-na-stol-so-zrkadlovym-efektom-hviezda-mrlc-6-s-16036")</f>
        <v>0.0</v>
      </c>
      <c r="E2176" s="7" t="n">
        <f>HYPERLINK("https://www.somogyi.sk/data/img/product_main_images/small/16036.jpg","https://www.somogyi.sk/data/img/product_main_images/small/16036.jpg")</f>
        <v>0.0</v>
      </c>
      <c r="F2176" s="2" t="inlineStr">
        <is>
          <t>5999084940683</t>
        </is>
      </c>
      <c r="G2176" s="4" t="inlineStr">
        <is>
          <t xml:space="preserve"> • umiestnenie: na vnútorné použitie 
 • zdroj svetla: LED 
 • počet zdrojov svetla: 6 ks dekorácií, 12 ks LED / dekorácia 
 • farba zdrojov svetla: studená biela 
 • farba kábla: transparentný 
 • rozmery: 1 m 
 • napájanie: 3 x 1,5 V (AA) batéria, nie je príslušenstvom 
 • ďalšie informácie: tunelový LED efekt na oboch stranách dekorácie</t>
        </is>
      </c>
    </row>
    <row r="2177">
      <c r="A2177" s="3" t="inlineStr">
        <is>
          <t>KDD 54</t>
        </is>
      </c>
      <c r="B2177" s="2" t="inlineStr">
        <is>
          <t>Škriatok, stojací so svietiacou bradou, 54 cm</t>
        </is>
      </c>
      <c r="C2177" s="1" t="n">
        <v>21.19</v>
      </c>
      <c r="D2177" s="7" t="n">
        <f>HYPERLINK("https://www.somogyi.sk/product/skriatok-stojaci-so-svietiacou-bradou-54-cm-kdd-54-16557","https://www.somogyi.sk/product/skriatok-stojaci-so-svietiacou-bradou-54-cm-kdd-54-16557")</f>
        <v>0.0</v>
      </c>
      <c r="E2177" s="7" t="n">
        <f>HYPERLINK("https://www.somogyi.sk/data/img/product_main_images/small/16557.jpg","https://www.somogyi.sk/data/img/product_main_images/small/16557.jpg")</f>
        <v>0.0</v>
      </c>
      <c r="F2177" s="2" t="inlineStr">
        <is>
          <t>5999084945893</t>
        </is>
      </c>
      <c r="G2177" s="4" t="inlineStr">
        <is>
          <t xml:space="preserve"> • umiestnenie: na vnútorné použitie 
 • zdroj svetla: 3 ks blikajúcich, teplých bielych LED 
 • počet zdrojov svetla: 3 ks blikajúcich, teplých bielych LED 
 • farba zdrojov svetla: teplá biela 
 • rozmery: 20 x 54 x 18 cm 
 • napájanie: 2 x 3 V (CR2032) batéria, je príslušenstvom</t>
        </is>
      </c>
    </row>
    <row r="2178">
      <c r="A2178" s="3" t="inlineStr">
        <is>
          <t>KDC 28</t>
        </is>
      </c>
      <c r="B2178" s="2" t="inlineStr">
        <is>
          <t>Keramická-plyšová dekorácia</t>
        </is>
      </c>
      <c r="C2178" s="1" t="n">
        <v>6.29</v>
      </c>
      <c r="D2178" s="7" t="n">
        <f>HYPERLINK("https://www.somogyi.sk/product/keramicka-plysova-dekoracia-kdc-28-16996","https://www.somogyi.sk/product/keramicka-plysova-dekoracia-kdc-28-16996")</f>
        <v>0.0</v>
      </c>
      <c r="E2178" s="7" t="n">
        <f>HYPERLINK("https://www.somogyi.sk/data/img/product_main_images/small/16996.jpg","https://www.somogyi.sk/data/img/product_main_images/small/16996.jpg")</f>
        <v>0.0</v>
      </c>
      <c r="F2178" s="2" t="inlineStr">
        <is>
          <t>5999084950286</t>
        </is>
      </c>
      <c r="G2178" s="4" t="inlineStr">
        <is>
          <t xml:space="preserve"> • umiestnenie: na vnútorné použitie 
 • zdroj svetla: LED 
 • počet zdrojov svetla: 1 ks 
 • farba zdrojov svetla: teplá biela 
 • rozmery: 10 x 10 x10,5 cm 
 • napájanie: 2 x 1,5 V (LR44) gombíková batéria, je príslušenstvom</t>
        </is>
      </c>
    </row>
    <row r="2179">
      <c r="A2179" s="3" t="inlineStr">
        <is>
          <t>KAD26</t>
        </is>
      </c>
      <c r="B2179" s="2" t="inlineStr">
        <is>
          <t>Dekorácia na stôl, vianočná dedinka</t>
        </is>
      </c>
      <c r="C2179" s="1" t="n">
        <v>19.39</v>
      </c>
      <c r="D2179" s="7" t="n">
        <f>HYPERLINK("https://www.somogyi.sk/product/dekoracia-na-stol-vianocna-dedinka-kad26-18594","https://www.somogyi.sk/product/dekoracia-na-stol-vianocna-dedinka-kad26-18594")</f>
        <v>0.0</v>
      </c>
      <c r="E2179" s="7" t="n">
        <f>HYPERLINK("https://www.somogyi.sk/data/img/product_main_images/small/18594.jpg","https://www.somogyi.sk/data/img/product_main_images/small/18594.jpg")</f>
        <v>0.0</v>
      </c>
      <c r="F2179" s="2" t="inlineStr">
        <is>
          <t>5999084966126</t>
        </is>
      </c>
      <c r="G2179" s="4"/>
    </row>
    <row r="2180">
      <c r="A2180" s="3" t="inlineStr">
        <is>
          <t>KDD44</t>
        </is>
      </c>
      <c r="B2180" s="2" t="inlineStr">
        <is>
          <t>LED dekorácia, škriatok s visiacimi nohami</t>
        </is>
      </c>
      <c r="C2180" s="1" t="n">
        <v>8.69</v>
      </c>
      <c r="D2180" s="7" t="n">
        <f>HYPERLINK("https://www.somogyi.sk/product/led-dekoracia-skriatok-s-visiacimi-nohami-kdd44-18601","https://www.somogyi.sk/product/led-dekoracia-skriatok-s-visiacimi-nohami-kdd44-18601")</f>
        <v>0.0</v>
      </c>
      <c r="E2180" s="7" t="n">
        <f>HYPERLINK("https://www.somogyi.sk/data/img/product_main_images/small/18601.jpg","https://www.somogyi.sk/data/img/product_main_images/small/18601.jpg")</f>
        <v>0.0</v>
      </c>
      <c r="F2180" s="2" t="inlineStr">
        <is>
          <t>5999084966195</t>
        </is>
      </c>
      <c r="G2180" s="4" t="inlineStr">
        <is>
          <t xml:space="preserve"> • umiestnenie: na vnútorné použiie 
 • zdroj svetla: LED 
 • farba zdrojov svetla: teplá biela 
 • za/vypínač: áno 
 • rozmery: 10 x 14 x 44 cm 
 • napájanie: 2 x 1,5V (AA) batéria, nie je príslušenstvom</t>
        </is>
      </c>
    </row>
    <row r="2181">
      <c r="A2181" s="3" t="inlineStr">
        <is>
          <t>KDD40</t>
        </is>
      </c>
      <c r="B2181" s="2" t="inlineStr">
        <is>
          <t>LED dekorácia, sediaci škriatok</t>
        </is>
      </c>
      <c r="C2181" s="1" t="n">
        <v>13.79</v>
      </c>
      <c r="D2181" s="7" t="n">
        <f>HYPERLINK("https://www.somogyi.sk/product/led-dekoracia-sediaci-skriatok-kdd40-18605","https://www.somogyi.sk/product/led-dekoracia-sediaci-skriatok-kdd40-18605")</f>
        <v>0.0</v>
      </c>
      <c r="E2181" s="7" t="n">
        <f>HYPERLINK("https://www.somogyi.sk/data/img/product_main_images/small/18605.jpg","https://www.somogyi.sk/data/img/product_main_images/small/18605.jpg")</f>
        <v>0.0</v>
      </c>
      <c r="F2181" s="2" t="inlineStr">
        <is>
          <t>5999084966232</t>
        </is>
      </c>
      <c r="G2181" s="4" t="inlineStr">
        <is>
          <t xml:space="preserve"> • umiestnenie: na vnútorné použiie 
 • zdroj svetla: LED 
 • farba zdrojov svetla: teplá biela 
 • časovač: ON / OFF / TIMER (6 h ON / 18 h OFF) opakujúci sa časovač 
 • za/vypínač: áno 
 • rozmery: 20 x 20 x 40 cm 
 • napájanie: 3 x 1,5 V (AAA) batéria (nie je príslušenstvom)</t>
        </is>
      </c>
    </row>
    <row r="2182">
      <c r="A2182" s="3" t="inlineStr">
        <is>
          <t>KID 24</t>
        </is>
      </c>
      <c r="B2182" s="2" t="inlineStr">
        <is>
          <t>LED dekorácia na dvere, okno, s optickými vláknami, farebný drevený stromček</t>
        </is>
      </c>
      <c r="C2182" s="1" t="n">
        <v>30.79</v>
      </c>
      <c r="D2182" s="7" t="n">
        <f>HYPERLINK("https://www.somogyi.sk/product/led-dekoracia-na-dvere-okno-s-optickymi-vlaknami-farebny-dreveny-stromcek-kid-24-16509","https://www.somogyi.sk/product/led-dekoracia-na-dvere-okno-s-optickymi-vlaknami-farebny-dreveny-stromcek-kid-24-16509")</f>
        <v>0.0</v>
      </c>
      <c r="E2182" s="7" t="n">
        <f>HYPERLINK("https://www.somogyi.sk/data/img/product_main_images/small/16509.jpg","https://www.somogyi.sk/data/img/product_main_images/small/16509.jpg")</f>
        <v>0.0</v>
      </c>
      <c r="F2182" s="2" t="inlineStr">
        <is>
          <t>5999084945411</t>
        </is>
      </c>
      <c r="G2182" s="4" t="inlineStr">
        <is>
          <t xml:space="preserve"> • umiestnenie: na vnútorné použitie 
 • zdroj svetla: farebné blikajúce svetelné body 
 • počet zdrojov svetla: 1 centrálny LED zdroj svetla 
 • farba zdrojov svetla: farbu meniaca 
 • rozmery: 33,5 x 54,8 x 3,5 cm 
 • napájanie: 2 x 1,5 V (AAA) batéria, nie je príslušenstvom 
 • ďalšie informácie: závesné prevedenie</t>
        </is>
      </c>
    </row>
    <row r="2183">
      <c r="A2183" s="3" t="inlineStr">
        <is>
          <t>PLM 7/T</t>
        </is>
      </c>
      <c r="B2183" s="2" t="inlineStr">
        <is>
          <t>LED dekorácia, stromček</t>
        </is>
      </c>
      <c r="C2183" s="1" t="n">
        <v>3.19</v>
      </c>
      <c r="D2183" s="7" t="n">
        <f>HYPERLINK("https://www.somogyi.sk/product/led-dekoracia-stromcek-plm-7-t-16006","https://www.somogyi.sk/product/led-dekoracia-stromcek-plm-7-t-16006")</f>
        <v>0.0</v>
      </c>
      <c r="E2183" s="7" t="n">
        <f>HYPERLINK("https://www.somogyi.sk/data/img/product_main_images/small/16006.jpg","https://www.somogyi.sk/data/img/product_main_images/small/16006.jpg")</f>
        <v>0.0</v>
      </c>
      <c r="F2183" s="2" t="inlineStr">
        <is>
          <t>5999084940386</t>
        </is>
      </c>
      <c r="G2183" s="4" t="inlineStr">
        <is>
          <t xml:space="preserve"> • umiestnenie: na vnútorné použitie 
 • zdroj svetla: LED 
 • počet zdrojov svetla: 7 ks 
 • farba zdrojov svetla: teplá biela 
 • rozmery: 20 x 22 x 3,5 cm 
 • napájanie: 2 x AA (1,5 V) batéria (nie je príslušenstvom)</t>
        </is>
      </c>
    </row>
    <row r="2184">
      <c r="A2184" s="3" t="inlineStr">
        <is>
          <t>DRM 14</t>
        </is>
      </c>
      <c r="B2184" s="2" t="inlineStr">
        <is>
          <t>Dekorácia krb</t>
        </is>
      </c>
      <c r="C2184" s="1" t="n">
        <v>35.99</v>
      </c>
      <c r="D2184" s="7" t="n">
        <f>HYPERLINK("https://www.somogyi.sk/product/dekoracia-krb-drm-14-17367","https://www.somogyi.sk/product/dekoracia-krb-drm-14-17367")</f>
        <v>0.0</v>
      </c>
      <c r="E2184" s="7" t="n">
        <f>HYPERLINK("https://www.somogyi.sk/data/img/product_main_images/small/17367.jpg","https://www.somogyi.sk/data/img/product_main_images/small/17367.jpg")</f>
        <v>0.0</v>
      </c>
      <c r="F2184" s="2" t="inlineStr">
        <is>
          <t>5999084953898</t>
        </is>
      </c>
      <c r="G2184" s="4" t="inlineStr">
        <is>
          <t xml:space="preserve"> • na vnútorné použitie 
 • svetelný efekt krbu 
 • otáčajúci sa stromček, Mikuláš 
 • napájanie: 3 x 1,5 V (AA) batéria, nie je príslušenstvom</t>
        </is>
      </c>
    </row>
    <row r="2185">
      <c r="A2185" s="3" t="inlineStr">
        <is>
          <t>KDC 01</t>
        </is>
      </c>
      <c r="B2185" s="2" t="inlineStr">
        <is>
          <t>Zimné LED domčeky, farebné, 12 ks/displej</t>
        </is>
      </c>
      <c r="C2185" s="1" t="n">
        <v>5.39</v>
      </c>
      <c r="D2185" s="7" t="n">
        <f>HYPERLINK("https://www.somogyi.sk/product/zimne-led-domceky-farebne-12-ks-displej-kdc-01-18128","https://www.somogyi.sk/product/zimne-led-domceky-farebne-12-ks-displej-kdc-01-18128")</f>
        <v>0.0</v>
      </c>
      <c r="E2185" s="7" t="n">
        <f>HYPERLINK("https://www.somogyi.sk/data/img/product_main_images/small/18128.jpg","https://www.somogyi.sk/data/img/product_main_images/small/18128.jpg")</f>
        <v>0.0</v>
      </c>
      <c r="F2185" s="2" t="inlineStr">
        <is>
          <t>5999084961503</t>
        </is>
      </c>
      <c r="G2185" s="4" t="inlineStr">
        <is>
          <t xml:space="preserve"> • na vnútorné použitie 
 • 12 druhov farebných domčekov 
 • materiál: polyresin 
 • za-/vypínač 
 • napájanie: 2 x 1,5 V (LR44) gombíková batéria, je príslušenstvom 
 • rozmery: 7 x 10 x 6 cm 
 • 12 ks/display</t>
        </is>
      </c>
    </row>
    <row r="2186">
      <c r="A2186" s="3" t="inlineStr">
        <is>
          <t>NEON 3</t>
        </is>
      </c>
      <c r="B2186" s="2" t="inlineStr">
        <is>
          <t>Neon-light dvojitá hviezda, 55x54cm</t>
        </is>
      </c>
      <c r="C2186" s="1" t="n">
        <v>33.59</v>
      </c>
      <c r="D2186" s="7" t="n">
        <f>HYPERLINK("https://www.somogyi.sk/product/neon-light-dvojita-hviezda-55x54cm-neon-3-17742","https://www.somogyi.sk/product/neon-light-dvojita-hviezda-55x54cm-neon-3-17742")</f>
        <v>0.0</v>
      </c>
      <c r="E2186" s="7" t="n">
        <f>HYPERLINK("https://www.somogyi.sk/data/img/product_main_images/small/17742.jpg","https://www.somogyi.sk/data/img/product_main_images/small/17742.jpg")</f>
        <v>0.0</v>
      </c>
      <c r="F2186" s="2" t="inlineStr">
        <is>
          <t>5999084957643</t>
        </is>
      </c>
      <c r="G2186" s="4" t="inlineStr">
        <is>
          <t xml:space="preserve"> • umiestnenie: na vonkajšie / vnútorné použitie 
 • zdroj svetla: LED 
 • farba zdrojov svetla: ľadovo modrý a žltý neon light 
 • farba kábla: čierny gumový kábel (1,5 m) 
 • rozmery: 55 cm x 52 cm 
 • napájanie: 230 V~ / 50 Hz 
 • ďalšie informácie: svieti na oboch stranách figúrky • kovový rám • vonkajšia pripojovacia vidlica IP44</t>
        </is>
      </c>
    </row>
    <row r="2187">
      <c r="A2187" s="3" t="inlineStr">
        <is>
          <t>KDC 02</t>
        </is>
      </c>
      <c r="B2187" s="2" t="inlineStr">
        <is>
          <t>Zimné LED domčeky, biele, 12 ks/displej</t>
        </is>
      </c>
      <c r="C2187" s="1" t="n">
        <v>4.79</v>
      </c>
      <c r="D2187" s="7" t="n">
        <f>HYPERLINK("https://www.somogyi.sk/product/zimne-led-domceky-biele-12-ks-displej-kdc-02-18129","https://www.somogyi.sk/product/zimne-led-domceky-biele-12-ks-displej-kdc-02-18129")</f>
        <v>0.0</v>
      </c>
      <c r="E2187" s="7" t="n">
        <f>HYPERLINK("https://www.somogyi.sk/data/img/product_main_images/small/18129.jpg","https://www.somogyi.sk/data/img/product_main_images/small/18129.jpg")</f>
        <v>0.0</v>
      </c>
      <c r="F2187" s="2" t="inlineStr">
        <is>
          <t>5999084961510</t>
        </is>
      </c>
      <c r="G2187" s="4" t="inlineStr">
        <is>
          <t xml:space="preserve"> • na vnútorné použitie 
 • 12 druhov biele domčekov 
 • materiál: polyresin 
 • za-/vypínač 
 • napájanie: 2 x 1,5 V (LR44) gombíková batéria, je príslušenstvom 
 • rozmery: 7 x 10 x 6 cm 
 • 12 ks/display</t>
        </is>
      </c>
    </row>
    <row r="2188">
      <c r="A2188" s="3" t="inlineStr">
        <is>
          <t>NEON 1</t>
        </is>
      </c>
      <c r="B2188" s="2" t="inlineStr">
        <is>
          <t>Neon-light kométa, 31x64 cm</t>
        </is>
      </c>
      <c r="C2188" s="1" t="n">
        <v>25.19</v>
      </c>
      <c r="D2188" s="7" t="n">
        <f>HYPERLINK("https://www.somogyi.sk/product/neon-light-kometa-31x64-cm-neon-1-17740","https://www.somogyi.sk/product/neon-light-kometa-31x64-cm-neon-1-17740")</f>
        <v>0.0</v>
      </c>
      <c r="E2188" s="7" t="n">
        <f>HYPERLINK("https://www.somogyi.sk/data/img/product_main_images/small/17740.jpg","https://www.somogyi.sk/data/img/product_main_images/small/17740.jpg")</f>
        <v>0.0</v>
      </c>
      <c r="F2188" s="2" t="inlineStr">
        <is>
          <t>5999084957629</t>
        </is>
      </c>
      <c r="G2188" s="4" t="inlineStr">
        <is>
          <t xml:space="preserve"> • umiestnenie: na vonkajšie / vnútorné použitie 
 • zdroj svetla: LED 
 • farba zdrojov svetla: ľadovo modrý neon light 
 • farba kábla: čierny gumový kábel (1,5 m) 
 • rozmery: 65 cm x 25 cm 
 • napájanie: 230 V~ / 50 Hz 
 • ďalšie informácie: svieti na oboch stranách figúrky • kovový rám • vonkajšia pripojovacia vidlica IP44</t>
        </is>
      </c>
    </row>
    <row r="2189">
      <c r="A2189" s="3" t="inlineStr">
        <is>
          <t>CDM 12</t>
        </is>
      </c>
      <c r="B2189" s="2" t="inlineStr">
        <is>
          <t>LED dekorácia na stôl, stromček</t>
        </is>
      </c>
      <c r="C2189" s="1" t="n">
        <v>2.39</v>
      </c>
      <c r="D2189" s="7" t="n">
        <f>HYPERLINK("https://www.somogyi.sk/product/led-dekoracia-na-stol-stromcek-cdm-12-15637","https://www.somogyi.sk/product/led-dekoracia-na-stol-stromcek-cdm-12-15637")</f>
        <v>0.0</v>
      </c>
      <c r="E2189" s="7" t="n">
        <f>HYPERLINK("https://www.somogyi.sk/data/img/product_main_images/small/15637.jpg","https://www.somogyi.sk/data/img/product_main_images/small/15637.jpg")</f>
        <v>0.0</v>
      </c>
      <c r="F2189" s="2" t="inlineStr">
        <is>
          <t>5999084936716</t>
        </is>
      </c>
      <c r="G2189" s="4" t="inlineStr">
        <is>
          <t xml:space="preserve"> • umiestnenie: na vnútorné použitie 
 • zdroj svetla: LED 
 • počet zdrojov svetla: 1 ks 
 • farba zdrojov svetla: zmena farieb 
 • funkcie: priebežná zmena farieb 
 • rozmery: Ø5,5 x 12 cm 
 • napájanie: 2 x LR 44 (je príslušenstvom) 
 • ďalšie informácie: 3D akrylová dekorácia, za- / vypínač</t>
        </is>
      </c>
    </row>
    <row r="2190">
      <c r="A2190" s="3" t="inlineStr">
        <is>
          <t>KDC 49</t>
        </is>
      </c>
      <c r="B2190" s="2" t="inlineStr">
        <is>
          <t>Keramická figúrka, WELCOME, Mikuláš   sob</t>
        </is>
      </c>
      <c r="C2190" s="1" t="n">
        <v>61.29</v>
      </c>
      <c r="D2190" s="7" t="n">
        <f>HYPERLINK("https://www.somogyi.sk/product/keramicka-figurka-welcome-mikulas-sob-kdc-49-16563","https://www.somogyi.sk/product/keramicka-figurka-welcome-mikulas-sob-kdc-49-16563")</f>
        <v>0.0</v>
      </c>
      <c r="E2190" s="7" t="n">
        <f>HYPERLINK("https://www.somogyi.sk/data/img/product_main_images/small/16563.jpg","https://www.somogyi.sk/data/img/product_main_images/small/16563.jpg")</f>
        <v>0.0</v>
      </c>
      <c r="F2190" s="2" t="inlineStr">
        <is>
          <t>5999084945954</t>
        </is>
      </c>
      <c r="G2190" s="4" t="inlineStr">
        <is>
          <t xml:space="preserve"> • umiestnenie: na vnútorné použitie 
 • zdroj svetla: LED 
 • počet zdrojov svetla: 4 ks 
 • farba zdrojov svetla: farbu meniaca 
 • funkcie: vianočnú hudbu je možné zapnúť/vypnúť 
 • rozmery: 45 x 49 x 20 cm 
 • napájanie: 3 x 1,5 V (AA) batéria, nie je príslušenstvom</t>
        </is>
      </c>
    </row>
    <row r="2191">
      <c r="A2191" s="3" t="inlineStr">
        <is>
          <t>TRN02</t>
        </is>
      </c>
      <c r="B2191" s="2" t="inlineStr">
        <is>
          <t>Vláčik, hrajúci</t>
        </is>
      </c>
      <c r="C2191" s="1" t="n">
        <v>76.69</v>
      </c>
      <c r="D2191" s="7" t="n">
        <f>HYPERLINK("https://www.somogyi.sk/product/vlacik-hrajuci-trn02-18591","https://www.somogyi.sk/product/vlacik-hrajuci-trn02-18591")</f>
        <v>0.0</v>
      </c>
      <c r="E2191" s="7" t="n">
        <f>HYPERLINK("https://www.somogyi.sk/data/img/product_main_images/small/18591.jpg","https://www.somogyi.sk/data/img/product_main_images/small/18591.jpg")</f>
        <v>0.0</v>
      </c>
      <c r="F2191" s="2" t="inlineStr">
        <is>
          <t>5999084966096</t>
        </is>
      </c>
      <c r="G2191" s="4" t="inlineStr">
        <is>
          <t xml:space="preserve"> • umiestnenie: na vnútorné použitie 
 • zdroj svetla: LED 
 • farba zdrojov svetla: žltá 
 • charakteristiky: 1 rušeň   2 vagóny • kruhová železničná trať 
 • napájanie: 3 x 1,5 V (AAA) batéria (nie je príslušenstvom)</t>
        </is>
      </c>
    </row>
    <row r="2192">
      <c r="A2192" s="3" t="inlineStr">
        <is>
          <t>NEON 2</t>
        </is>
      </c>
      <c r="B2192" s="2" t="inlineStr">
        <is>
          <t>Neon-light snehová vločka, 59x53cm</t>
        </is>
      </c>
      <c r="C2192" s="1" t="n">
        <v>41.59</v>
      </c>
      <c r="D2192" s="7" t="n">
        <f>HYPERLINK("https://www.somogyi.sk/product/neon-light-snehova-vlocka-59x53cm-neon-2-17741","https://www.somogyi.sk/product/neon-light-snehova-vlocka-59x53cm-neon-2-17741")</f>
        <v>0.0</v>
      </c>
      <c r="E2192" s="7" t="n">
        <f>HYPERLINK("https://www.somogyi.sk/data/img/product_main_images/small/17741.jpg","https://www.somogyi.sk/data/img/product_main_images/small/17741.jpg")</f>
        <v>0.0</v>
      </c>
      <c r="F2192" s="2" t="inlineStr">
        <is>
          <t>5999084957636</t>
        </is>
      </c>
      <c r="G2192" s="4" t="inlineStr">
        <is>
          <t xml:space="preserve"> • umiestnenie: na vonkajšie / vnútorné použitie 
 • zdroj svetla: LED 
 • farba zdrojov svetla: ľadovo modrý neon light 
 • farba kábla: čierny gumový kábel (1,5 m) 
 • rozmery: 52 cm x 59 cm 
 • napájanie: 230 V~ / 50 Hz 
 • ďalšie informácie: svieti na oboch stranách figúrky • kovový rám • vonkajšia pripojovacia vidlica IP44</t>
        </is>
      </c>
    </row>
    <row r="2193">
      <c r="A2193" s="3" t="inlineStr">
        <is>
          <t>KDC 29</t>
        </is>
      </c>
      <c r="B2193" s="2" t="inlineStr">
        <is>
          <t>LED keramická figúrka</t>
        </is>
      </c>
      <c r="C2193" s="1" t="n">
        <v>28.09</v>
      </c>
      <c r="D2193" s="7" t="n">
        <f>HYPERLINK("https://www.somogyi.sk/product/led-keramicka-figurka-kdc-29-16997","https://www.somogyi.sk/product/led-keramicka-figurka-kdc-29-16997")</f>
        <v>0.0</v>
      </c>
      <c r="E2193" s="7" t="n">
        <f>HYPERLINK("https://www.somogyi.sk/data/img/product_main_images/small/16997.jpg","https://www.somogyi.sk/data/img/product_main_images/small/16997.jpg")</f>
        <v>0.0</v>
      </c>
      <c r="F2193" s="2" t="inlineStr">
        <is>
          <t>5999084950293</t>
        </is>
      </c>
      <c r="G2193" s="4" t="inlineStr">
        <is>
          <t xml:space="preserve"> • umiestnenie: na vnútorné použitie 
 • zdroj svetla: LED 
 • počet zdrojov svetla: 12 ks 
 • farba zdrojov svetla: teplá biela 
 • rozmery: 41 x 56,7 x 21,5 cm 
 • napájanie: 3 x 1,5 V (AA) batéria, nie je príslušenstvom</t>
        </is>
      </c>
    </row>
    <row r="2194">
      <c r="A2194" s="3" t="inlineStr">
        <is>
          <t>KDC 27</t>
        </is>
      </c>
      <c r="B2194" s="2" t="inlineStr">
        <is>
          <t>Keramická-plyšová dekorácia</t>
        </is>
      </c>
      <c r="C2194" s="1" t="n">
        <v>7.69</v>
      </c>
      <c r="D2194" s="7" t="n">
        <f>HYPERLINK("https://www.somogyi.sk/product/keramicka-plysova-dekoracia-kdc-27-16995","https://www.somogyi.sk/product/keramicka-plysova-dekoracia-kdc-27-16995")</f>
        <v>0.0</v>
      </c>
      <c r="E2194" s="7" t="n">
        <f>HYPERLINK("https://www.somogyi.sk/data/img/product_main_images/small/16995.jpg","https://www.somogyi.sk/data/img/product_main_images/small/16995.jpg")</f>
        <v>0.0</v>
      </c>
      <c r="F2194" s="2" t="inlineStr">
        <is>
          <t>5999084950279</t>
        </is>
      </c>
      <c r="G2194" s="4" t="inlineStr">
        <is>
          <t xml:space="preserve"> • umiestnenie: na vnútorné použitie 
 • zdroj svetla: LED 
 • počet zdrojov svetla: 1 ks 
 • farba zdrojov svetla: teplá biela 
 • rozmery: 8 x 26 x 8 cm 
 • napájanie: 2 x 1,5 V (LR44) gombíková batéria, je príslušenstvom</t>
        </is>
      </c>
    </row>
    <row r="2195">
      <c r="A2195" s="3" t="inlineStr">
        <is>
          <t>KDCA 21</t>
        </is>
      </c>
      <c r="B2195" s="2" t="inlineStr">
        <is>
          <t>Keramická figúrka, červený rušeň so stromčekom</t>
        </is>
      </c>
      <c r="C2195" s="1" t="n">
        <v>13.29</v>
      </c>
      <c r="D2195" s="7" t="n">
        <f>HYPERLINK("https://www.somogyi.sk/product/keramicka-figurka-cerveny-rusen-so-stromcekom-kdca-21-16567","https://www.somogyi.sk/product/keramicka-figurka-cerveny-rusen-so-stromcekom-kdca-21-16567")</f>
        <v>0.0</v>
      </c>
      <c r="E2195" s="7" t="n">
        <f>HYPERLINK("https://www.somogyi.sk/data/img/product_main_images/small/16567.jpg","https://www.somogyi.sk/data/img/product_main_images/small/16567.jpg")</f>
        <v>0.0</v>
      </c>
      <c r="F2195" s="2" t="inlineStr">
        <is>
          <t>5999084945992</t>
        </is>
      </c>
      <c r="G2195" s="4" t="inlineStr">
        <is>
          <t xml:space="preserve"> • umiestnenie: na vnútorné použitie 
 • zdroj svetla: 10 ks teplých bielych LED 
 • počet zdrojov svetla: 10 ks 
 • farba zdrojov svetla: teplá biela 
 • rozmery: 20,5 x 21 x 8,5 cm 
 • napájanie: 2 x 1,5 V (AAA) batéria, nie je príslušenstvom</t>
        </is>
      </c>
    </row>
    <row r="2196">
      <c r="A2196" s="3" t="inlineStr">
        <is>
          <t>TAP 10</t>
        </is>
      </c>
      <c r="B2196" s="2" t="inlineStr">
        <is>
          <t>Prísavka, 5 ks</t>
        </is>
      </c>
      <c r="C2196" s="1" t="n">
        <v>1.99</v>
      </c>
      <c r="D2196" s="7" t="n">
        <f>HYPERLINK("https://www.somogyi.sk/product/prisavka-5-ks-tap-10-8610","https://www.somogyi.sk/product/prisavka-5-ks-tap-10-8610")</f>
        <v>0.0</v>
      </c>
      <c r="E2196" s="7" t="n">
        <f>HYPERLINK("https://www.somogyi.sk/data/img/product_main_images/small/08610.jpg","https://www.somogyi.sk/data/img/product_main_images/small/08610.jpg")</f>
        <v>0.0</v>
      </c>
      <c r="F2196" s="2" t="inlineStr">
        <is>
          <t>5998312775035</t>
        </is>
      </c>
      <c r="G2196" s="4" t="inlineStr">
        <is>
          <t xml:space="preserve"> • umiestnenie: vonkajšie / vnútorné použitie 
 • ďalšie informácie: 5 ks, priesvitná</t>
        </is>
      </c>
    </row>
    <row r="2197">
      <c r="A2197" s="3" t="inlineStr">
        <is>
          <t>CDY3LED</t>
        </is>
      </c>
      <c r="B2197" s="2" t="inlineStr">
        <is>
          <t>Cukrová palička, batériová (3 ks sada)</t>
        </is>
      </c>
      <c r="C2197" s="1" t="n">
        <v>12.69</v>
      </c>
      <c r="D2197" s="7" t="n">
        <f>HYPERLINK("https://www.somogyi.sk/product/cukrova-palicka-bateriova-3-ks-sada-cdy3led-18585","https://www.somogyi.sk/product/cukrova-palicka-bateriova-3-ks-sada-cdy3led-18585")</f>
        <v>0.0</v>
      </c>
      <c r="E2197" s="7" t="n">
        <f>HYPERLINK("https://www.somogyi.sk/data/img/product_main_images/small/18585.jpg","https://www.somogyi.sk/data/img/product_main_images/small/18585.jpg")</f>
        <v>0.0</v>
      </c>
      <c r="F2197" s="2" t="inlineStr">
        <is>
          <t>5999084966034</t>
        </is>
      </c>
      <c r="G2197" s="4" t="inlineStr">
        <is>
          <t xml:space="preserve"> • materiál: plast 
 • umiestnenie: na vonkajšie / vnútorné použitie 
 • zdroj svetla: LED 
 • počet zdrojov svetla: 5 ks v jednej lízanke 
 • farba zdrojov svetla: teplá biela 
 • funkcie: stále svetlo 
 • časovač: 6h ON/18h OFF časovač 
 • IP ochrana: IP44 
 • dĺžka napájacieho kábla: 50 cm 
 • napájanie: 3 x 1,5 V (AAA) batéria (nie je príslušenstvom)</t>
        </is>
      </c>
    </row>
    <row r="2198">
      <c r="A2198" s="3" t="inlineStr">
        <is>
          <t>DECO 5</t>
        </is>
      </c>
      <c r="B2198" s="2" t="inlineStr">
        <is>
          <t>Dekorácia k svetiacemu reťazcu, kocka, 50 ks, na LED Ø5 mm</t>
        </is>
      </c>
      <c r="C2198" s="1" t="n">
        <v>2.39</v>
      </c>
      <c r="D2198" s="7" t="n">
        <f>HYPERLINK("https://www.somogyi.sk/product/dekoracia-k-svetiacemu-retazcu-kocka-50-ks-na-led-5-mm-deco-5-14850","https://www.somogyi.sk/product/dekoracia-k-svetiacemu-retazcu-kocka-50-ks-na-led-5-mm-deco-5-14850")</f>
        <v>0.0</v>
      </c>
      <c r="E2198" s="7" t="n">
        <f>HYPERLINK("https://www.somogyi.sk/data/img/product_main_images/small/14850.jpg","https://www.somogyi.sk/data/img/product_main_images/small/14850.jpg")</f>
        <v>0.0</v>
      </c>
      <c r="F2198" s="2" t="inlineStr">
        <is>
          <t>5999084928872</t>
        </is>
      </c>
      <c r="G2198" s="4" t="inlineStr">
        <is>
          <t xml:space="preserve"> • umiestnenie: vonkajšie / vnútorné použitie 
 • rozmery: 22 x 15 mm 
 • ďalšie informácie: 50 ks kociek na LED s Ø5 mm</t>
        </is>
      </c>
    </row>
    <row r="2199">
      <c r="A2199" s="3" t="inlineStr">
        <is>
          <t>KAD 27</t>
        </is>
      </c>
      <c r="B2199" s="2" t="inlineStr">
        <is>
          <t>LED dekorácia na stôl, hviezda, neon-light, teplá biela</t>
        </is>
      </c>
      <c r="C2199" s="1" t="n">
        <v>4.89</v>
      </c>
      <c r="D2199" s="7" t="n">
        <f>HYPERLINK("https://www.somogyi.sk/product/led-dekoracia-na-stol-hviezda-neon-light-tepla-biela-kad-27-16503","https://www.somogyi.sk/product/led-dekoracia-na-stol-hviezda-neon-light-tepla-biela-kad-27-16503")</f>
        <v>0.0</v>
      </c>
      <c r="E2199" s="7" t="n">
        <f>HYPERLINK("https://www.somogyi.sk/data/img/product_main_images/small/16503.jpg","https://www.somogyi.sk/data/img/product_main_images/small/16503.jpg")</f>
        <v>0.0</v>
      </c>
      <c r="F2199" s="2" t="inlineStr">
        <is>
          <t>5999084945350</t>
        </is>
      </c>
      <c r="G2199" s="4" t="inlineStr">
        <is>
          <t xml:space="preserve"> • umiestnenie: na vnútorné použitie 
 • zdroj svetla: LED neon-light pásik 
 • počet zdrojov svetla: 1 ks 
 • farba zdrojov svetla: teplá biela 
 • rozmery: 22 x 22 x 3 cm 
 • napájanie: 3 x 1,5 V (AA) batéria, nie je príslušenstvom</t>
        </is>
      </c>
    </row>
    <row r="2200">
      <c r="A2200" s="3" t="inlineStr">
        <is>
          <t>KLB 120/SL</t>
        </is>
      </c>
      <c r="B2200" s="2" t="inlineStr">
        <is>
          <t>Svietiaca vetva, strieborná, 120 cm, 40 LED</t>
        </is>
      </c>
      <c r="C2200" s="1" t="n">
        <v>24.39</v>
      </c>
      <c r="D2200" s="7" t="n">
        <f>HYPERLINK("https://www.somogyi.sk/product/svietiaca-vetva-strieborna-120-cm-40-led-klb-120-sl-17728","https://www.somogyi.sk/product/svietiaca-vetva-strieborna-120-cm-40-led-klb-120-sl-17728")</f>
        <v>0.0</v>
      </c>
      <c r="E2200" s="7" t="n">
        <f>HYPERLINK("https://www.somogyi.sk/data/img/product_main_images/small/17728.jpg","https://www.somogyi.sk/data/img/product_main_images/small/17728.jpg")</f>
        <v>0.0</v>
      </c>
      <c r="F2200" s="2" t="inlineStr">
        <is>
          <t>5999084957506</t>
        </is>
      </c>
      <c r="G2200" s="4" t="inlineStr">
        <is>
          <t xml:space="preserve"> • umiestnenie: na vnútorné použitie 
 • zdroj svetla: LED 
 • počet zdrojov svetla: 40 ks 
 • farba zdrojov svetla: teplá biela 
 • funkcie: voliteľné opakované časovanie (6 h ON / 18 h OFF) 
 • rozmery: výška: cca. 120 cm 
 • napájanie: 3 x 1,5 V (AA) batéria, nie je príslušenstvom</t>
        </is>
      </c>
    </row>
    <row r="2201">
      <c r="A2201" s="3" t="inlineStr">
        <is>
          <t>KLB 120/WH</t>
        </is>
      </c>
      <c r="B2201" s="2" t="inlineStr">
        <is>
          <t>Svietiaca vetva, biela, 120 cm, 40 LED</t>
        </is>
      </c>
      <c r="C2201" s="1" t="n">
        <v>24.39</v>
      </c>
      <c r="D2201" s="7" t="n">
        <f>HYPERLINK("https://www.somogyi.sk/product/svietiaca-vetva-biela-120-cm-40-led-klb-120-wh-17729","https://www.somogyi.sk/product/svietiaca-vetva-biela-120-cm-40-led-klb-120-wh-17729")</f>
        <v>0.0</v>
      </c>
      <c r="E2201" s="7" t="n">
        <f>HYPERLINK("https://www.somogyi.sk/data/img/product_main_images/small/17729.jpg","https://www.somogyi.sk/data/img/product_main_images/small/17729.jpg")</f>
        <v>0.0</v>
      </c>
      <c r="F2201" s="2" t="inlineStr">
        <is>
          <t>5999084957513</t>
        </is>
      </c>
      <c r="G2201" s="4" t="inlineStr">
        <is>
          <t xml:space="preserve"> • umiestnenie: na vnútorné použitie 
 • zdroj svetla: LED 
 • počet zdrojov svetla: 40 ks 
 • farba zdrojov svetla: teplá biela 
 • funkcie: voliteľné opakované časovanie (6 h ON / 18 h OFF) 
 • rozmery: výška: cca. 120 cm 
 • napájanie: 3 x 1,5 V (AA) batéria, nie je príslušenstvom</t>
        </is>
      </c>
    </row>
    <row r="2202">
      <c r="A2202" s="3" t="inlineStr">
        <is>
          <t>KDC 48</t>
        </is>
      </c>
      <c r="B2202" s="2" t="inlineStr">
        <is>
          <t>LED keramická dekorácia</t>
        </is>
      </c>
      <c r="C2202" s="1" t="n">
        <v>38.29</v>
      </c>
      <c r="D2202" s="7" t="n">
        <f>HYPERLINK("https://www.somogyi.sk/product/led-keramicka-dekoracia-kdc-48-17010","https://www.somogyi.sk/product/led-keramicka-dekoracia-kdc-48-17010")</f>
        <v>0.0</v>
      </c>
      <c r="E2202" s="7" t="n">
        <f>HYPERLINK("https://www.somogyi.sk/data/img/product_main_images/small/17010.jpg","https://www.somogyi.sk/data/img/product_main_images/small/17010.jpg")</f>
        <v>0.0</v>
      </c>
      <c r="F2202" s="2" t="inlineStr">
        <is>
          <t>5999084950422</t>
        </is>
      </c>
      <c r="G2202" s="4" t="inlineStr">
        <is>
          <t xml:space="preserve"> • umiestnenie: na vnútorné použitie 
 • zdroj svetla: LED 
 • farba zdrojov svetla: teplá biela 
 • rozmery: 34 x 66 x 17 cm 
 • napájanie: 3 x AA batéria (je príslušenstvom)</t>
        </is>
      </c>
    </row>
    <row r="2203">
      <c r="A2203" s="3" t="inlineStr">
        <is>
          <t>KAD 19 PINE</t>
        </is>
      </c>
      <c r="B2203" s="2" t="inlineStr">
        <is>
          <t>LED stolová dekorácia, stromček, 4,5V</t>
        </is>
      </c>
      <c r="C2203" s="1" t="n">
        <v>11.89</v>
      </c>
      <c r="D2203" s="7" t="n">
        <f>HYPERLINK("https://www.somogyi.sk/product/led-stolova-dekoracia-stromcek-4-5v-kad-19-pine-14862","https://www.somogyi.sk/product/led-stolova-dekoracia-stromcek-4-5v-kad-19-pine-14862")</f>
        <v>0.0</v>
      </c>
      <c r="E2203" s="7" t="n">
        <f>HYPERLINK("https://www.somogyi.sk/data/img/product_main_images/small/14862.jpg","https://www.somogyi.sk/data/img/product_main_images/small/14862.jpg")</f>
        <v>0.0</v>
      </c>
      <c r="F2203" s="2" t="inlineStr">
        <is>
          <t>5999084928995</t>
        </is>
      </c>
      <c r="G2203" s="4" t="inlineStr">
        <is>
          <t xml:space="preserve"> • umiestnenie: vnútorné použitie 
 • zdroj svetla: LED 
 • počet zdrojov svetla: 20 ks 
 • farba zdrojov svetla: teplá biela 
 • rozmery: 39 cm 
 • napájanie: 3 x AA batéria (nie je príslušenstvom) 
 • ďalšie informácie: ABS plast</t>
        </is>
      </c>
    </row>
    <row r="2204">
      <c r="A2204" s="3" t="inlineStr">
        <is>
          <t>KDC 15/T</t>
        </is>
      </c>
      <c r="B2204" s="2" t="inlineStr">
        <is>
          <t>Keramická figúrka</t>
        </is>
      </c>
      <c r="C2204" s="1" t="n">
        <v>3.69</v>
      </c>
      <c r="D2204" s="7" t="n">
        <f>HYPERLINK("https://www.somogyi.sk/product/keramicka-figurka-kdc-15-t-16045","https://www.somogyi.sk/product/keramicka-figurka-kdc-15-t-16045")</f>
        <v>0.0</v>
      </c>
      <c r="E2204" s="7" t="n">
        <f>HYPERLINK("https://www.somogyi.sk/data/img/product_main_images/small/16045.jpg","https://www.somogyi.sk/data/img/product_main_images/small/16045.jpg")</f>
        <v>0.0</v>
      </c>
      <c r="F2204" s="2" t="inlineStr">
        <is>
          <t>5999084940775</t>
        </is>
      </c>
      <c r="G2204" s="4" t="inlineStr">
        <is>
          <t xml:space="preserve"> • umiestnenie: na vnútorné použitie 
 • zdroj svetla: LED 
 • počet zdrojov svetla: 5 ks 
 • farba zdrojov svetla: teplá biela 
 • rozmery: 9 x 15 x 5 cm 
 • napájanie: 2 x LR44 gombíková batéria  (je príslušenstvom) 
 • ďalšie informácie: so svietiacimi EVA guľami</t>
        </is>
      </c>
    </row>
    <row r="2205">
      <c r="A2205" s="6" t="inlineStr">
        <is>
          <t xml:space="preserve">   Vianočné dekoračné osvetlenie / Sviečka</t>
        </is>
      </c>
      <c r="B2205" s="6" t="inlineStr">
        <is>
          <t/>
        </is>
      </c>
      <c r="C2205" s="6" t="inlineStr">
        <is>
          <t/>
        </is>
      </c>
      <c r="D2205" s="6" t="inlineStr">
        <is>
          <t/>
        </is>
      </c>
      <c r="E2205" s="6" t="inlineStr">
        <is>
          <t/>
        </is>
      </c>
      <c r="F2205" s="6" t="inlineStr">
        <is>
          <t/>
        </is>
      </c>
      <c r="G2205" s="6" t="inlineStr">
        <is>
          <t/>
        </is>
      </c>
    </row>
    <row r="2206">
      <c r="A2206" s="3" t="inlineStr">
        <is>
          <t>CDL 20</t>
        </is>
      </c>
      <c r="B2206" s="2" t="inlineStr">
        <is>
          <t>LED čajová sviečka, 3 LED, Ø20 x 8 cm</t>
        </is>
      </c>
      <c r="C2206" s="1" t="n">
        <v>7.29</v>
      </c>
      <c r="D2206" s="7" t="n">
        <f>HYPERLINK("https://www.somogyi.sk/product/led-cajova-sviecka-3-led-20-x-8-cm-cdl-20-17354","https://www.somogyi.sk/product/led-cajova-sviecka-3-led-20-x-8-cm-cdl-20-17354")</f>
        <v>0.0</v>
      </c>
      <c r="E2206" s="7" t="n">
        <f>HYPERLINK("https://www.somogyi.sk/data/img/product_main_images/small/17354.jpg","https://www.somogyi.sk/data/img/product_main_images/small/17354.jpg")</f>
        <v>0.0</v>
      </c>
      <c r="F2206" s="2" t="inlineStr">
        <is>
          <t>5999084953768</t>
        </is>
      </c>
      <c r="G2206" s="4" t="inlineStr">
        <is>
          <t xml:space="preserve"> • umiestnenie: na vnútorné použitie 
 • zdroj svetla: LED 
 • počet zdrojov svetla: 3 ks 
 • farba zdrojov svetla: teplá biela 
 • funkcie: blikajúca LED v tvare plameňa 
 • rozmery: ∅200 x 80 mm 
 • napájanie: 3 x 1,5 V (AA) batéria, nie je príslušenstvom</t>
        </is>
      </c>
    </row>
    <row r="2207">
      <c r="A2207" s="3" t="inlineStr">
        <is>
          <t>CDL 17</t>
        </is>
      </c>
      <c r="B2207" s="2" t="inlineStr">
        <is>
          <t>LED čajová sviečka, 1 LED, Ø17 x 14 cm</t>
        </is>
      </c>
      <c r="C2207" s="1" t="n">
        <v>5.09</v>
      </c>
      <c r="D2207" s="7" t="n">
        <f>HYPERLINK("https://www.somogyi.sk/product/led-cajova-sviecka-1-led-17-x-14-cm-cdl-17-17353","https://www.somogyi.sk/product/led-cajova-sviecka-1-led-17-x-14-cm-cdl-17-17353")</f>
        <v>0.0</v>
      </c>
      <c r="E2207" s="7" t="n">
        <f>HYPERLINK("https://www.somogyi.sk/data/img/product_main_images/small/17353.jpg","https://www.somogyi.sk/data/img/product_main_images/small/17353.jpg")</f>
        <v>0.0</v>
      </c>
      <c r="F2207" s="2" t="inlineStr">
        <is>
          <t>5999084953751</t>
        </is>
      </c>
      <c r="G2207" s="4" t="inlineStr">
        <is>
          <t xml:space="preserve"> • umiestnenie: na vnútorné použitie 
 • zdroj svetla: LED 
 • počet zdrojov svetla: 1 ks 
 • farba zdrojov svetla: teplá biela 
 • funkcie: blikajúca LED v tvare plameňa 
 • rozmery: ∅170 x 140 mm 
 • napájanie: 3 x 1,5 V (AA) batéria, nie je príslušenstvom</t>
        </is>
      </c>
    </row>
    <row r="2208">
      <c r="A2208" s="3" t="inlineStr">
        <is>
          <t>CDL 14</t>
        </is>
      </c>
      <c r="B2208" s="2" t="inlineStr">
        <is>
          <t>LED čajová sviečka, 1 LED, Ø14 x 8,5 cm</t>
        </is>
      </c>
      <c r="C2208" s="1" t="n">
        <v>3.69</v>
      </c>
      <c r="D2208" s="7" t="n">
        <f>HYPERLINK("https://www.somogyi.sk/product/led-cajova-sviecka-1-led-14-x-8-5-cm-cdl-14-17352","https://www.somogyi.sk/product/led-cajova-sviecka-1-led-14-x-8-5-cm-cdl-14-17352")</f>
        <v>0.0</v>
      </c>
      <c r="E2208" s="7" t="n">
        <f>HYPERLINK("https://www.somogyi.sk/data/img/product_main_images/small/17352.jpg","https://www.somogyi.sk/data/img/product_main_images/small/17352.jpg")</f>
        <v>0.0</v>
      </c>
      <c r="F2208" s="2" t="inlineStr">
        <is>
          <t>5999084953744</t>
        </is>
      </c>
      <c r="G2208" s="4" t="inlineStr">
        <is>
          <t xml:space="preserve"> • umiestnenie: na vnútorné použitie 
 • zdroj svetla: LED 
 • počet zdrojov svetla: 1 ks 
 • farba zdrojov svetla: teplá biela 
 • funkcie: blikajúca LED v tvare plameňa 
 • rozmery: ∅140 x 85 mm 
 • napájanie: 3 x 1,5 V (AA) batéria, nie je príslušenstvom</t>
        </is>
      </c>
    </row>
    <row r="2209">
      <c r="A2209" s="3" t="inlineStr">
        <is>
          <t>CD 1</t>
        </is>
      </c>
      <c r="B2209" s="2" t="inlineStr">
        <is>
          <t>LED sviečka v skle, Ø7,5 x 12,5 cm</t>
        </is>
      </c>
      <c r="C2209" s="1" t="n">
        <v>8.29</v>
      </c>
      <c r="D2209" s="7" t="n">
        <f>HYPERLINK("https://www.somogyi.sk/product/led-sviecka-v-skle-7-5-x-12-5-cm-cd-1-17370","https://www.somogyi.sk/product/led-sviecka-v-skle-7-5-x-12-5-cm-cd-1-17370")</f>
        <v>0.0</v>
      </c>
      <c r="E2209" s="7" t="n">
        <f>HYPERLINK("https://www.somogyi.sk/data/img/product_main_images/small/17370.jpg","https://www.somogyi.sk/data/img/product_main_images/small/17370.jpg")</f>
        <v>0.0</v>
      </c>
      <c r="F2209" s="2" t="inlineStr">
        <is>
          <t>5999084953928</t>
        </is>
      </c>
      <c r="G2209" s="4" t="inlineStr">
        <is>
          <t xml:space="preserve"> • umiestnenie: na vnútorné použitie 
 • zdroj svetla: LED 
 • počet zdrojov svetla: 1 ks 
 • farba zdrojov svetla: teplá biela 
 • funkcie: blikajúca LED v tvare plameňa 
 • rozmery: ∅75 x 125 mm 
 • napájanie: 2 x AA (1,5 V) batéria (nie je príslušenstvom)</t>
        </is>
      </c>
    </row>
    <row r="2210">
      <c r="A2210" s="3" t="inlineStr">
        <is>
          <t>CDO 1</t>
        </is>
      </c>
      <c r="B2210" s="2" t="inlineStr">
        <is>
          <t>LED sviečka</t>
        </is>
      </c>
      <c r="C2210" s="1" t="n">
        <v>4.89</v>
      </c>
      <c r="D2210" s="7" t="n">
        <f>HYPERLINK("https://www.somogyi.sk/product/led-sviecka-cdo-1-18130","https://www.somogyi.sk/product/led-sviecka-cdo-1-18130")</f>
        <v>0.0</v>
      </c>
      <c r="E2210" s="7" t="n">
        <f>HYPERLINK("https://www.somogyi.sk/data/img/product_main_images/small/18130.jpg","https://www.somogyi.sk/data/img/product_main_images/small/18130.jpg")</f>
        <v>0.0</v>
      </c>
      <c r="F2210" s="2" t="inlineStr">
        <is>
          <t>5999084961527</t>
        </is>
      </c>
      <c r="G2210" s="4" t="inlineStr">
        <is>
          <t xml:space="preserve"> • umiestnenie: vonkajšie / vnútorné použitie 
 • zdroj svetla: LED 
 • počet zdrojov svetla: 1 ks 
 • farba zdrojov svetla: teplá biela 
 • funkcie: možno zapnúť/vypnúť/opakovať časovanie: ON / OFF / TIMER (6 h ON / 18 h OFF) 
 • rozmery: Ø 7,54 x 12,5 cm 
 • napájanie: 2 x 1,5 V (AA) batéria, nie je príslušenstvom 
 • materiál: plast 
 • ďalšie informácie: balenie: farebná krabica</t>
        </is>
      </c>
    </row>
    <row r="2211">
      <c r="A2211" s="3" t="inlineStr">
        <is>
          <t>CDS 3</t>
        </is>
      </c>
      <c r="B2211" s="2" t="inlineStr">
        <is>
          <t>Sada LED sviečok v skle</t>
        </is>
      </c>
      <c r="C2211" s="1" t="n">
        <v>15.99</v>
      </c>
      <c r="D2211" s="7" t="n">
        <f>HYPERLINK("https://www.somogyi.sk/product/sada-led-sviecok-v-skle-cds-3-17351","https://www.somogyi.sk/product/sada-led-sviecok-v-skle-cds-3-17351")</f>
        <v>0.0</v>
      </c>
      <c r="E2211" s="7" t="n">
        <f>HYPERLINK("https://www.somogyi.sk/data/img/product_main_images/small/17351.jpg","https://www.somogyi.sk/data/img/product_main_images/small/17351.jpg")</f>
        <v>0.0</v>
      </c>
      <c r="F2211" s="2" t="inlineStr">
        <is>
          <t>5999084953737</t>
        </is>
      </c>
      <c r="G2211" s="4" t="inlineStr">
        <is>
          <t xml:space="preserve"> • rozmery: Ø5 cm x 10 / 12,5 / 15 cm 
 • napájanie: 2 x 3 V (CR2032) batéria, je príslušenstvom</t>
        </is>
      </c>
    </row>
    <row r="2212">
      <c r="A2212" s="3" t="inlineStr">
        <is>
          <t>CD 2/WX</t>
        </is>
      </c>
      <c r="B2212" s="2" t="inlineStr">
        <is>
          <t>LED čajová sviečka, biela</t>
        </is>
      </c>
      <c r="C2212" s="1" t="n">
        <v>1.69</v>
      </c>
      <c r="D2212" s="7" t="n">
        <f>HYPERLINK("https://www.somogyi.sk/product/led-cajova-sviecka-biela-cd-2-wx-13445","https://www.somogyi.sk/product/led-cajova-sviecka-biela-cd-2-wx-13445")</f>
        <v>0.0</v>
      </c>
      <c r="E2212" s="7" t="n">
        <f>HYPERLINK("https://www.somogyi.sk/data/img/product_main_images/small/13445.jpg","https://www.somogyi.sk/data/img/product_main_images/small/13445.jpg")</f>
        <v>0.0</v>
      </c>
      <c r="F2212" s="2" t="inlineStr">
        <is>
          <t>5999084915315</t>
        </is>
      </c>
      <c r="G2212" s="4" t="inlineStr">
        <is>
          <t xml:space="preserve"> • rozmery: Ø38 mm 
 • napájanie: CR2032 batéria (príslušenstvo) 
 • ďalšie informácie: - 
 • balenie: 2 ks 
 • vonkajšia / vnútorná: na vnútorné použitie 
 • farba: biela 
 • diaľkový ovládač: nie 
 • materiál: plast 
 • farba LED: oranžová 
 • počet LED: 1 ks 
 • efekty: blikajúce svetlo 
 • hmotnosť: 0,03 kg</t>
        </is>
      </c>
    </row>
    <row r="2213">
      <c r="A2213" s="3" t="inlineStr">
        <is>
          <t>CMW 16</t>
        </is>
      </c>
      <c r="B2213" s="2" t="inlineStr">
        <is>
          <t>LED vosková sviečka s plameňovým efektom, 1 žltá LED</t>
        </is>
      </c>
      <c r="C2213" s="1" t="n">
        <v>9.89</v>
      </c>
      <c r="D2213" s="7" t="n">
        <f>HYPERLINK("https://www.somogyi.sk/product/led-voskova-sviecka-s-plamenovym-efektom-1-zlta-led-cmw-16-15657","https://www.somogyi.sk/product/led-voskova-sviecka-s-plamenovym-efektom-1-zlta-led-cmw-16-15657")</f>
        <v>0.0</v>
      </c>
      <c r="E2213" s="7" t="n">
        <f>HYPERLINK("https://www.somogyi.sk/data/img/product_main_images/small/15657.jpg","https://www.somogyi.sk/data/img/product_main_images/small/15657.jpg")</f>
        <v>0.0</v>
      </c>
      <c r="F2213" s="2" t="inlineStr">
        <is>
          <t>5999084936914</t>
        </is>
      </c>
      <c r="G2213" s="4" t="inlineStr">
        <is>
          <t xml:space="preserve"> • umiestnenie: na vnútorné použitie 
 • zdroj svetla: LED 
 • počet zdrojov svetla: 1 ks 
 • farba zdrojov svetla: žltá 
 • funkcie: pohybujúci sa plameň 
 • rozmery: ∅7,5 x 15 cm 
 • napájanie: 2 x AA batéria (nie je príslušenstvom) 
 • ďalšie informácie: materiál: pravý vosk</t>
        </is>
      </c>
    </row>
    <row r="2214">
      <c r="A2214" s="3" t="inlineStr">
        <is>
          <t>CD 6/WH</t>
        </is>
      </c>
      <c r="B2214" s="2" t="inlineStr">
        <is>
          <t>LED čajová sviečka</t>
        </is>
      </c>
      <c r="C2214" s="1" t="n">
        <v>3.79</v>
      </c>
      <c r="D2214" s="7" t="n">
        <f>HYPERLINK("https://www.somogyi.sk/product/led-cajova-sviecka-cd-6-wh-14739","https://www.somogyi.sk/product/led-cajova-sviecka-cd-6-wh-14739")</f>
        <v>0.0</v>
      </c>
      <c r="E2214" s="7" t="n">
        <f>HYPERLINK("https://www.somogyi.sk/data/img/product_main_images/small/14739.jpg","https://www.somogyi.sk/data/img/product_main_images/small/14739.jpg")</f>
        <v>0.0</v>
      </c>
      <c r="F2214" s="2" t="inlineStr">
        <is>
          <t>5999084927813</t>
        </is>
      </c>
      <c r="G2214" s="4" t="inlineStr">
        <is>
          <t xml:space="preserve"> • umiestnenie: vnútorné použitie 
 • zdroj svetla: LED 
 • počet zdrojov svetla: 1 ks 
 • farba zdrojov svetla: oranžová 
 • funkcie: blikajúca LED 
 • rozmery: Ø3,8 x 4 cm 
 • napájanie: CR2032 batéria (príslušenstvo) 
 • ďalšie informácie: -</t>
        </is>
      </c>
    </row>
    <row r="2215">
      <c r="A2215" s="3" t="inlineStr">
        <is>
          <t>CDX 2/WH</t>
        </is>
      </c>
      <c r="B2215" s="2" t="inlineStr">
        <is>
          <t>LED sviečka, akrylový plameň</t>
        </is>
      </c>
      <c r="C2215" s="1" t="n">
        <v>3.09</v>
      </c>
      <c r="D2215" s="7" t="n">
        <f>HYPERLINK("https://www.somogyi.sk/product/led-sviecka-akrylovy-plamen-cdx-2-wh-15606","https://www.somogyi.sk/product/led-sviecka-akrylovy-plamen-cdx-2-wh-15606")</f>
        <v>0.0</v>
      </c>
      <c r="E2215" s="7" t="n">
        <f>HYPERLINK("https://www.somogyi.sk/data/img/product_main_images/small/15606.jpg","https://www.somogyi.sk/data/img/product_main_images/small/15606.jpg")</f>
        <v>0.0</v>
      </c>
      <c r="F2215" s="2" t="inlineStr">
        <is>
          <t>5999084936402</t>
        </is>
      </c>
      <c r="G2215" s="4" t="inlineStr">
        <is>
          <t xml:space="preserve"> • umiestnenie: na vnútorné použitie 
 • zdroj svetla: LED 
 • počet zdrojov svetla: 1 ks 
 • funkcie: blikajúca LED 
 • rozmery: Ø6 x 10 cm 
 • napájanie: 2 x C batéria (nie je príslušenstvom) 
 • ďalšie informácie: biela farba, materiál plast, cca. 180 dňová prevádzka</t>
        </is>
      </c>
    </row>
    <row r="2216">
      <c r="A2216" s="3" t="inlineStr">
        <is>
          <t>CDS 2</t>
        </is>
      </c>
      <c r="B2216" s="2" t="inlineStr">
        <is>
          <t>Sada LED sviečok, 2 ks</t>
        </is>
      </c>
      <c r="C2216" s="1" t="n">
        <v>2.99</v>
      </c>
      <c r="D2216" s="7" t="n">
        <f>HYPERLINK("https://www.somogyi.sk/product/sada-led-sviecok-2-ks-cds-2-16069","https://www.somogyi.sk/product/sada-led-sviecok-2-ks-cds-2-16069")</f>
        <v>0.0</v>
      </c>
      <c r="E2216" s="7" t="n">
        <f>HYPERLINK("https://www.somogyi.sk/data/img/product_main_images/small/16069.jpg","https://www.somogyi.sk/data/img/product_main_images/small/16069.jpg")</f>
        <v>0.0</v>
      </c>
      <c r="F2216" s="2" t="inlineStr">
        <is>
          <t>5999084941017</t>
        </is>
      </c>
      <c r="G2216" s="4" t="inlineStr">
        <is>
          <t xml:space="preserve"> • rozmery: Ø4 x 6 cm 
 • napájanie: 1 x CR2032 gombíková batéria, je príslušenstvom 
 • balenie: 8 setov / displej 
 • farba LED: žltá 
 • počet LED: 1 ks 
 • efekty: blikajúca LED</t>
        </is>
      </c>
    </row>
    <row r="2217">
      <c r="A2217" s="6" t="inlineStr">
        <is>
          <t xml:space="preserve">   Vianočné dekoračné osvetlenie / Tancujúca, hrajúca figúrka</t>
        </is>
      </c>
      <c r="B2217" s="6" t="inlineStr">
        <is>
          <t/>
        </is>
      </c>
      <c r="C2217" s="6" t="inlineStr">
        <is>
          <t/>
        </is>
      </c>
      <c r="D2217" s="6" t="inlineStr">
        <is>
          <t/>
        </is>
      </c>
      <c r="E2217" s="6" t="inlineStr">
        <is>
          <t/>
        </is>
      </c>
      <c r="F2217" s="6" t="inlineStr">
        <is>
          <t/>
        </is>
      </c>
      <c r="G2217" s="6" t="inlineStr">
        <is>
          <t/>
        </is>
      </c>
    </row>
    <row r="2218">
      <c r="A2218" s="3" t="inlineStr">
        <is>
          <t>KDD 45</t>
        </is>
      </c>
      <c r="B2218" s="2" t="inlineStr">
        <is>
          <t>Tancujúci, hrajúci Mikuláš</t>
        </is>
      </c>
      <c r="C2218" s="1" t="n">
        <v>28.09</v>
      </c>
      <c r="D2218" s="7" t="n">
        <f>HYPERLINK("https://www.somogyi.sk/product/tancujuci-hrajuci-mikulas-kdd-45-13986","https://www.somogyi.sk/product/tancujuci-hrajuci-mikulas-kdd-45-13986")</f>
        <v>0.0</v>
      </c>
      <c r="E2218" s="7" t="n">
        <f>HYPERLINK("https://www.somogyi.sk/data/img/product_main_images/small/13986.jpg","https://www.somogyi.sk/data/img/product_main_images/small/13986.jpg")</f>
        <v>0.0</v>
      </c>
      <c r="F2218" s="2" t="inlineStr">
        <is>
          <t>5999084920388</t>
        </is>
      </c>
      <c r="G2218" s="4" t="inlineStr">
        <is>
          <t xml:space="preserve"> • umiestnenie: vnútorné použitie 
 • funkcie: Mikuláš tancuje na hudbu 
 • rozmery: 45 cm 
 • napájanie: 3 x AA batéria (nie je príslušenstvom)</t>
        </is>
      </c>
    </row>
    <row r="2219">
      <c r="A2219" s="3" t="inlineStr">
        <is>
          <t>KDD 32</t>
        </is>
      </c>
      <c r="B2219" s="2" t="inlineStr">
        <is>
          <t>Tancujúci, hrajúci Mikuláš, 30cm</t>
        </is>
      </c>
      <c r="C2219" s="1" t="n">
        <v>16.79</v>
      </c>
      <c r="D2219" s="7" t="n">
        <f>HYPERLINK("https://www.somogyi.sk/product/tancujuci-hrajuci-mikulas-30cm-kdd-32-13985","https://www.somogyi.sk/product/tancujuci-hrajuci-mikulas-30cm-kdd-32-13985")</f>
        <v>0.0</v>
      </c>
      <c r="E2219" s="7" t="n">
        <f>HYPERLINK("https://www.somogyi.sk/data/img/product_main_images/small/13985.jpg","https://www.somogyi.sk/data/img/product_main_images/small/13985.jpg")</f>
        <v>0.0</v>
      </c>
      <c r="F2219" s="2" t="inlineStr">
        <is>
          <t>5999084920371</t>
        </is>
      </c>
      <c r="G2219" s="4" t="inlineStr">
        <is>
          <t xml:space="preserve"> • umiestnenie: vnútorné použitie 
 • funkcie: Mikuláš tancuje na hudbu 
 • rozmery: 30 cm 
 • napájanie: 3 x AA batéria (nie je príslušenstvom)</t>
        </is>
      </c>
    </row>
    <row r="2220">
      <c r="A2220" s="3" t="inlineStr">
        <is>
          <t>KDD 39</t>
        </is>
      </c>
      <c r="B2220" s="2" t="inlineStr">
        <is>
          <t>Spievajúci, tancujúci stromček</t>
        </is>
      </c>
      <c r="C2220" s="1" t="n">
        <v>21.69</v>
      </c>
      <c r="D2220" s="7" t="n">
        <f>HYPERLINK("https://www.somogyi.sk/product/spievajuci-tancujuci-stromcek-kdd-39-17331","https://www.somogyi.sk/product/spievajuci-tancujuci-stromcek-kdd-39-17331")</f>
        <v>0.0</v>
      </c>
      <c r="E2220" s="7" t="n">
        <f>HYPERLINK("https://www.somogyi.sk/data/img/product_main_images/small/17331.jpg","https://www.somogyi.sk/data/img/product_main_images/small/17331.jpg")</f>
        <v>0.0</v>
      </c>
      <c r="F2220" s="2" t="inlineStr">
        <is>
          <t>5999084953539</t>
        </is>
      </c>
      <c r="G2220" s="4" t="inlineStr">
        <is>
          <t xml:space="preserve"> • stromček spieva a tancuje 
 • nastaviteľné ruky 
 • napájanie: 3 x 1,5 V (AA) batéria, nie je príslušenstvom</t>
        </is>
      </c>
    </row>
    <row r="2221">
      <c r="A2221" s="3" t="inlineStr">
        <is>
          <t>KDD 38</t>
        </is>
      </c>
      <c r="B2221" s="2" t="inlineStr">
        <is>
          <t>Spievajúci sob</t>
        </is>
      </c>
      <c r="C2221" s="1" t="n">
        <v>25.49</v>
      </c>
      <c r="D2221" s="7" t="n">
        <f>HYPERLINK("https://www.somogyi.sk/product/spievajuci-sob-kdd-38-16992","https://www.somogyi.sk/product/spievajuci-sob-kdd-38-16992")</f>
        <v>0.0</v>
      </c>
      <c r="E2221" s="7" t="n">
        <f>HYPERLINK("https://www.somogyi.sk/data/img/product_main_images/small/16992.jpg","https://www.somogyi.sk/data/img/product_main_images/small/16992.jpg")</f>
        <v>0.0</v>
      </c>
      <c r="F2221" s="2" t="inlineStr">
        <is>
          <t>5999084950248</t>
        </is>
      </c>
      <c r="G2221" s="4" t="inlineStr">
        <is>
          <t xml:space="preserve"> • umiestnenie: na vnútorné použitie 
 • funkcie: sob spieva a kýva hlavou 
 • rozmery: 38 cm 
 • napájanie: 3 x 1,5 V (AA) batéria, nie je príslušenstvom</t>
        </is>
      </c>
    </row>
    <row r="2222">
      <c r="A2222" s="3" t="inlineStr">
        <is>
          <t>KDD 35</t>
        </is>
      </c>
      <c r="B2222" s="2" t="inlineStr">
        <is>
          <t>Tancujúci, hrajúci Mikuláš s lampášom, 35 cm</t>
        </is>
      </c>
      <c r="C2222" s="1" t="n">
        <v>21.79</v>
      </c>
      <c r="D2222" s="7" t="n">
        <f>HYPERLINK("https://www.somogyi.sk/product/tancujuci-hrajuci-mikulas-s-lampasom-35-cm-kdd-35-17816","https://www.somogyi.sk/product/tancujuci-hrajuci-mikulas-s-lampasom-35-cm-kdd-35-17816")</f>
        <v>0.0</v>
      </c>
      <c r="E2222" s="7" t="n">
        <f>HYPERLINK("https://www.somogyi.sk/data/img/product_main_images/small/17816.jpg","https://www.somogyi.sk/data/img/product_main_images/small/17816.jpg")</f>
        <v>0.0</v>
      </c>
      <c r="F2222" s="2" t="inlineStr">
        <is>
          <t>5999084958381</t>
        </is>
      </c>
      <c r="G2222" s="4" t="inlineStr">
        <is>
          <t xml:space="preserve"> • umiestnenie: na vnútorné použitie 
 • funkcie: Mikuláš na hudbu tancuje 
 • rozmery: výška: 35 cm 
 • napájanie: 3 x AA batéria, nie je príslušenstvom</t>
        </is>
      </c>
    </row>
    <row r="2223">
      <c r="A2223" s="3" t="inlineStr">
        <is>
          <t>KDD 31</t>
        </is>
      </c>
      <c r="B2223" s="2" t="inlineStr">
        <is>
          <t>Tancujúci, hrajúci Mikuláš</t>
        </is>
      </c>
      <c r="C2223" s="1" t="n">
        <v>16.79</v>
      </c>
      <c r="D2223" s="7" t="n">
        <f>HYPERLINK("https://www.somogyi.sk/product/tancujuci-hrajuci-mikulas-kdd-31-13984","https://www.somogyi.sk/product/tancujuci-hrajuci-mikulas-kdd-31-13984")</f>
        <v>0.0</v>
      </c>
      <c r="E2223" s="7" t="n">
        <f>HYPERLINK("https://www.somogyi.sk/data/img/product_main_images/small/13984.jpg","https://www.somogyi.sk/data/img/product_main_images/small/13984.jpg")</f>
        <v>0.0</v>
      </c>
      <c r="F2223" s="2" t="inlineStr">
        <is>
          <t>5999084920364</t>
        </is>
      </c>
      <c r="G2223" s="4" t="inlineStr">
        <is>
          <t xml:space="preserve"> • umiestnenie: vnútorné použitie 
 • funkcie: Mikuláš tancuje na hudbu 
 • rozmery: 30 cm 
 • napájanie: 3 x AA batéria (nie je príslušenstvom)</t>
        </is>
      </c>
    </row>
    <row r="2224">
      <c r="A2224" s="6" t="inlineStr">
        <is>
          <t xml:space="preserve">   Vianočné dekoračné osvetlenie / Projektor</t>
        </is>
      </c>
      <c r="B2224" s="6" t="inlineStr">
        <is>
          <t/>
        </is>
      </c>
      <c r="C2224" s="6" t="inlineStr">
        <is>
          <t/>
        </is>
      </c>
      <c r="D2224" s="6" t="inlineStr">
        <is>
          <t/>
        </is>
      </c>
      <c r="E2224" s="6" t="inlineStr">
        <is>
          <t/>
        </is>
      </c>
      <c r="F2224" s="6" t="inlineStr">
        <is>
          <t/>
        </is>
      </c>
      <c r="G2224" s="6" t="inlineStr">
        <is>
          <t/>
        </is>
      </c>
    </row>
    <row r="2225">
      <c r="A2225" s="3" t="inlineStr">
        <is>
          <t>DL IP 8</t>
        </is>
      </c>
      <c r="B2225" s="2" t="inlineStr">
        <is>
          <t>Laserový projektor, 8 vzorov</t>
        </is>
      </c>
      <c r="C2225" s="1" t="n">
        <v>41.29</v>
      </c>
      <c r="D2225" s="7" t="n">
        <f>HYPERLINK("https://www.somogyi.sk/product/laserovy-projektor-8-vzorov-dl-ip-8-16084","https://www.somogyi.sk/product/laserovy-projektor-8-vzorov-dl-ip-8-16084")</f>
        <v>0.0</v>
      </c>
      <c r="E2225" s="7" t="n">
        <f>HYPERLINK("https://www.somogyi.sk/data/img/product_main_images/small/16084.jpg","https://www.somogyi.sk/data/img/product_main_images/small/16084.jpg")</f>
        <v>0.0</v>
      </c>
      <c r="F2225" s="2" t="inlineStr">
        <is>
          <t>5999084941161</t>
        </is>
      </c>
      <c r="G2225" s="4" t="inlineStr">
        <is>
          <t xml:space="preserve"> • umiestnenie: na vonkajšie / vnútorné použitie 
 • funkcie: 8 vianočných svetelných efektov, priebežné červené a zelené laserové svetlo 
 • vzdialenosť premietania: 10 m 
 • plocha premietania: 200 mm2 
 • rozmery: Ø10 x 14, max. výška 31 cm 
 • napájanie: 230 V~ (adaptér)</t>
        </is>
      </c>
    </row>
    <row r="2226">
      <c r="A2226" s="6" t="inlineStr">
        <is>
          <t xml:space="preserve">   Vianočné dekoračné osvetlenie / Náhradná žiarovka</t>
        </is>
      </c>
      <c r="B2226" s="6" t="inlineStr">
        <is>
          <t/>
        </is>
      </c>
      <c r="C2226" s="6" t="inlineStr">
        <is>
          <t/>
        </is>
      </c>
      <c r="D2226" s="6" t="inlineStr">
        <is>
          <t/>
        </is>
      </c>
      <c r="E2226" s="6" t="inlineStr">
        <is>
          <t/>
        </is>
      </c>
      <c r="F2226" s="6" t="inlineStr">
        <is>
          <t/>
        </is>
      </c>
      <c r="G2226" s="6" t="inlineStr">
        <is>
          <t/>
        </is>
      </c>
    </row>
    <row r="2227">
      <c r="A2227" s="3" t="inlineStr">
        <is>
          <t>L 2040C/E10</t>
        </is>
      </c>
      <c r="B2227" s="2" t="inlineStr">
        <is>
          <t>Náhradná žiarovka k typom KAD 07 a KAD 07/RD, E10</t>
        </is>
      </c>
      <c r="C2227" s="1" t="n">
        <v>4.29</v>
      </c>
      <c r="D2227" s="7" t="n">
        <f>HYPERLINK("https://www.somogyi.sk/product/nahradna-ziarovka-k-typom-kad-07-a-kad-07-rd-e10-l-2040c-e10-10270","https://www.somogyi.sk/product/nahradna-ziarovka-k-typom-kad-07-a-kad-07-rd-e10-l-2040c-e10-10270")</f>
        <v>0.0</v>
      </c>
      <c r="E2227" s="7" t="n">
        <f>HYPERLINK("https://www.somogyi.sk/data/img/product_main_images/small/10270.jpg","https://www.somogyi.sk/data/img/product_main_images/small/10270.jpg")</f>
        <v>0.0</v>
      </c>
      <c r="F2227" s="2" t="inlineStr">
        <is>
          <t>5998312788790</t>
        </is>
      </c>
      <c r="G2227" s="4" t="inlineStr">
        <is>
          <t xml:space="preserve"> • farba: plameň sviečky 
 • napätie: 230 V 
 • výkon: 1,3 W 
 • kompatibilita: KAD 07, KAD 07/RD 
 • objímka: E10</t>
        </is>
      </c>
    </row>
    <row r="2228">
      <c r="A2228" s="3" t="inlineStr">
        <is>
          <t>L 7D</t>
        </is>
      </c>
      <c r="B2228" s="2" t="inlineStr">
        <is>
          <t>Náhradná žiarovka k typom KAD 01/02/03</t>
        </is>
      </c>
      <c r="C2228" s="1" t="n">
        <v>2.19</v>
      </c>
      <c r="D2228" s="7" t="n">
        <f>HYPERLINK("https://www.somogyi.sk/product/nahradna-ziarovka-k-typom-kad-01-02-03-l-7d-4935","https://www.somogyi.sk/product/nahradna-ziarovka-k-typom-kad-01-02-03-l-7d-4935")</f>
        <v>0.0</v>
      </c>
      <c r="E2228" s="7" t="n">
        <f>HYPERLINK("https://www.somogyi.sk/data/img/product_main_images/small/04935.jpg","https://www.somogyi.sk/data/img/product_main_images/small/04935.jpg")</f>
        <v>0.0</v>
      </c>
      <c r="F2228" s="2" t="inlineStr">
        <is>
          <t>5998312743577</t>
        </is>
      </c>
      <c r="G2228" s="4" t="inlineStr">
        <is>
          <t xml:space="preserve"> • farba: biela 
 • napätie: 34 V 
 • výkon: 3 W 
 • kompatibilita: KAD 01, KAD 02, KAD 03 
 • objímka: E10 
 • balenie: 3 ks / balenie</t>
        </is>
      </c>
    </row>
    <row r="2229">
      <c r="A2229" s="3" t="inlineStr">
        <is>
          <t>L 16KL</t>
        </is>
      </c>
      <c r="B2229" s="2" t="inlineStr">
        <is>
          <t xml:space="preserve">Náhradná LED ku KIK 16L </t>
        </is>
      </c>
      <c r="C2229" s="1" t="n">
        <v>0.89</v>
      </c>
      <c r="D2229" s="7" t="n">
        <f>HYPERLINK("https://www.somogyi.sk/product/nahradna-led-ku-kik-16l-l-16kl-12113","https://www.somogyi.sk/product/nahradna-led-ku-kik-16l-l-16kl-12113")</f>
        <v>0.0</v>
      </c>
      <c r="E2229" s="7" t="n">
        <f>HYPERLINK("https://www.somogyi.sk/data/img/product_main_images/small/12113.jpg","https://www.somogyi.sk/data/img/product_main_images/small/12113.jpg")</f>
        <v>0.0</v>
      </c>
      <c r="F2229" s="2" t="inlineStr">
        <is>
          <t>5999084903251</t>
        </is>
      </c>
      <c r="G2229" s="4" t="inlineStr">
        <is>
          <t xml:space="preserve"> • farba: červená 
 • napätie: 3,3 V 
 • výkon: 0,066 W 
 • kompatibilita: KIK 16/L</t>
        </is>
      </c>
    </row>
    <row r="2230">
      <c r="A2230" s="3" t="inlineStr">
        <is>
          <t>L 4104</t>
        </is>
      </c>
      <c r="B2230" s="2" t="inlineStr">
        <is>
          <t xml:space="preserve">Náhradná žiarovka k typom G 4104/4102/4101 </t>
        </is>
      </c>
      <c r="C2230" s="1" t="n">
        <v>2.29</v>
      </c>
      <c r="D2230" s="7" t="n">
        <f>HYPERLINK("https://www.somogyi.sk/product/nahradna-ziarovka-k-typom-g-4104-4102-4101-l-4104-4615","https://www.somogyi.sk/product/nahradna-ziarovka-k-typom-g-4104-4102-4101-l-4104-4615")</f>
        <v>0.0</v>
      </c>
      <c r="E2230" s="7" t="n">
        <f>HYPERLINK("https://www.somogyi.sk/data/img/product_main_images/small/04615.jpg","https://www.somogyi.sk/data/img/product_main_images/small/04615.jpg")</f>
        <v>0.0</v>
      </c>
      <c r="F2230" s="2" t="inlineStr">
        <is>
          <t>5998312740712</t>
        </is>
      </c>
      <c r="G2230" s="4" t="inlineStr">
        <is>
          <t xml:space="preserve"> • farba: biela 
 • kompatibilita: G 4104</t>
        </is>
      </c>
    </row>
    <row r="2231">
      <c r="A2231" s="3" t="inlineStr">
        <is>
          <t>L 16L</t>
        </is>
      </c>
      <c r="B2231" s="2" t="inlineStr">
        <is>
          <t xml:space="preserve">Náhradná LED ku KI 16L </t>
        </is>
      </c>
      <c r="C2231" s="1" t="n">
        <v>1.39</v>
      </c>
      <c r="D2231" s="7" t="n">
        <f>HYPERLINK("https://www.somogyi.sk/product/nahradna-led-ku-ki-16l-l-16l-12111","https://www.somogyi.sk/product/nahradna-led-ku-ki-16l-l-16l-12111")</f>
        <v>0.0</v>
      </c>
      <c r="E2231" s="7" t="n">
        <f>HYPERLINK("https://www.somogyi.sk/data/img/product_main_images/small/12111.jpg","https://www.somogyi.sk/data/img/product_main_images/small/12111.jpg")</f>
        <v>0.0</v>
      </c>
      <c r="F2231" s="2" t="inlineStr">
        <is>
          <t>5999084903237</t>
        </is>
      </c>
      <c r="G2231" s="4" t="inlineStr">
        <is>
          <t xml:space="preserve"> • farba: teplá biela 
 • napätie: 3 V 
 • výkon: 0,06 W 
 • kompatibilita: KI 16L</t>
        </is>
      </c>
    </row>
    <row r="2232">
      <c r="A2232" s="6" t="inlineStr">
        <is>
          <t xml:space="preserve">   Vianočné dekoračné osvetlenie / Halloween</t>
        </is>
      </c>
      <c r="B2232" s="6" t="inlineStr">
        <is>
          <t/>
        </is>
      </c>
      <c r="C2232" s="6" t="inlineStr">
        <is>
          <t/>
        </is>
      </c>
      <c r="D2232" s="6" t="inlineStr">
        <is>
          <t/>
        </is>
      </c>
      <c r="E2232" s="6" t="inlineStr">
        <is>
          <t/>
        </is>
      </c>
      <c r="F2232" s="6" t="inlineStr">
        <is>
          <t/>
        </is>
      </c>
      <c r="G2232" s="6" t="inlineStr">
        <is>
          <t/>
        </is>
      </c>
    </row>
    <row r="2233">
      <c r="A2233" s="3" t="inlineStr">
        <is>
          <t>KD 180 T</t>
        </is>
      </c>
      <c r="B2233" s="2" t="inlineStr">
        <is>
          <t>Nafukovacia tekvica Halloween, 180 cm, s vnútorným LED projektorom</t>
        </is>
      </c>
      <c r="C2233" s="1" t="n">
        <v>82.79</v>
      </c>
      <c r="D2233" s="7" t="n">
        <f>HYPERLINK("https://www.somogyi.sk/product/nafukovacia-tekvica-halloween-180-cm-s-vnutornym-led-projektorom-kd-180-t-17363","https://www.somogyi.sk/product/nafukovacia-tekvica-halloween-180-cm-s-vnutornym-led-projektorom-kd-180-t-17363")</f>
        <v>0.0</v>
      </c>
      <c r="E2233" s="7" t="n">
        <f>HYPERLINK("https://www.somogyi.sk/data/img/product_main_images/small/17363.jpg","https://www.somogyi.sk/data/img/product_main_images/small/17363.jpg")</f>
        <v>0.0</v>
      </c>
      <c r="F2233" s="2" t="inlineStr">
        <is>
          <t>5999084953850</t>
        </is>
      </c>
      <c r="G2233" s="4" t="inlineStr">
        <is>
          <t xml:space="preserve"> • vonkajšia / vnútorná: na vonkajšie / vnútorné použitie 
 • zabudované osvetlenie: LED 
 • napájanie: sieťový adaptér na vonkajšie použitie (je príslušenstvom) 
 • rozmery: ∅94 cm, 183 cm 
 • zabudovaný ventilátor: áno 
 • ochrana proti vode: IPX1 figúrka: odolné voči zvisle dopadajúcim kvapkám vody 
 • dĺžka napájacieho kábla: ~ 180 cm</t>
        </is>
      </c>
    </row>
    <row r="2234">
      <c r="A2234" s="6" t="inlineStr">
        <is>
          <t xml:space="preserve">   Vianočné dekoračné osvetlenie / Podstavec pod vianočný stromček</t>
        </is>
      </c>
      <c r="B2234" s="6" t="inlineStr">
        <is>
          <t/>
        </is>
      </c>
      <c r="C2234" s="6" t="inlineStr">
        <is>
          <t/>
        </is>
      </c>
      <c r="D2234" s="6" t="inlineStr">
        <is>
          <t/>
        </is>
      </c>
      <c r="E2234" s="6" t="inlineStr">
        <is>
          <t/>
        </is>
      </c>
      <c r="F2234" s="6" t="inlineStr">
        <is>
          <t/>
        </is>
      </c>
      <c r="G2234" s="6" t="inlineStr">
        <is>
          <t/>
        </is>
      </c>
    </row>
    <row r="2235">
      <c r="A2235" s="3" t="inlineStr">
        <is>
          <t>CTH 02</t>
        </is>
      </c>
      <c r="B2235" s="2" t="inlineStr">
        <is>
          <t>Podstavec pre vianočný stromček</t>
        </is>
      </c>
      <c r="C2235" s="1" t="n">
        <v>16.49</v>
      </c>
      <c r="D2235" s="7" t="n">
        <f>HYPERLINK("https://www.somogyi.sk/product/podstavec-pre-vianocny-stromcek-cth-02-16989","https://www.somogyi.sk/product/podstavec-pre-vianocny-stromcek-cth-02-16989")</f>
        <v>0.0</v>
      </c>
      <c r="E2235" s="7" t="n">
        <f>HYPERLINK("https://www.somogyi.sk/data/img/product_main_images/small/16989.jpg","https://www.somogyi.sk/data/img/product_main_images/small/16989.jpg")</f>
        <v>0.0</v>
      </c>
      <c r="F2235" s="2" t="inlineStr">
        <is>
          <t>5999084950217</t>
        </is>
      </c>
      <c r="G2235" s="4" t="inlineStr">
        <is>
          <t xml:space="preserve"> • vonkajšia / vnútorná: na vnútorné použitie 
 • N/A: 50 - 105 mm 
 • N/A: 2,1 m 
 • nádrž na vodu: 1,6 l 
 • rozmery: ∅38,5  x 16 cm</t>
        </is>
      </c>
    </row>
    <row r="2236">
      <c r="A2236" s="6" t="inlineStr">
        <is>
          <t xml:space="preserve">   Vianočné dekoračné osvetlenie / Nafukovacia figúra</t>
        </is>
      </c>
      <c r="B2236" s="6" t="inlineStr">
        <is>
          <t/>
        </is>
      </c>
      <c r="C2236" s="6" t="inlineStr">
        <is>
          <t/>
        </is>
      </c>
      <c r="D2236" s="6" t="inlineStr">
        <is>
          <t/>
        </is>
      </c>
      <c r="E2236" s="6" t="inlineStr">
        <is>
          <t/>
        </is>
      </c>
      <c r="F2236" s="6" t="inlineStr">
        <is>
          <t/>
        </is>
      </c>
      <c r="G2236" s="6" t="inlineStr">
        <is>
          <t/>
        </is>
      </c>
    </row>
    <row r="2237">
      <c r="A2237" s="3" t="inlineStr">
        <is>
          <t>KDP 120 H</t>
        </is>
      </c>
      <c r="B2237" s="2" t="inlineStr">
        <is>
          <t>Nafukovací snehuliak</t>
        </is>
      </c>
      <c r="C2237" s="1" t="n">
        <v>82.79</v>
      </c>
      <c r="D2237" s="7" t="n">
        <f>HYPERLINK("https://www.somogyi.sk/product/nafukovaci-snehuliak-kdp-120-h-17015","https://www.somogyi.sk/product/nafukovaci-snehuliak-kdp-120-h-17015")</f>
        <v>0.0</v>
      </c>
      <c r="E2237" s="7" t="n">
        <f>HYPERLINK("https://www.somogyi.sk/data/img/product_main_images/small/17015.jpg","https://www.somogyi.sk/data/img/product_main_images/small/17015.jpg")</f>
        <v>0.0</v>
      </c>
      <c r="F2237" s="2" t="inlineStr">
        <is>
          <t>5999084950477</t>
        </is>
      </c>
      <c r="G2237" s="4" t="inlineStr">
        <is>
          <t xml:space="preserve"> • vonkajšia / vnútorná: na vonkajšie / vnútorné použitie 
 • zabudovaný ventilátor: áno 
 • zabudované osvetlenie: 3 ks bielej LED 
 • ochrana proti vode: IPX1 figúrka: odolné voči zvisle dopadajúcim kvapkám vody 
 • príslušenstvo: 4 x kolík a 2 x 1 m upevňovacie lano 
 • napájanie: sieťový adaptér na vonkajšie použitie (je príslušenstvom) 
 • dĺžka napájacieho kábla: ~ 180 cm 
 • rozmery: 91 cm x 122 cm x 51 cm</t>
        </is>
      </c>
    </row>
    <row r="2238">
      <c r="A2238" s="3" t="inlineStr">
        <is>
          <t>KD 240 K</t>
        </is>
      </c>
      <c r="B2238" s="2" t="inlineStr">
        <is>
          <t>Nafukovací vianočný stromček</t>
        </is>
      </c>
      <c r="C2238" s="1" t="n">
        <v>110.9</v>
      </c>
      <c r="D2238" s="7" t="n">
        <f>HYPERLINK("https://www.somogyi.sk/product/nafukovaci-vianocny-stromcek-kd-240-k-17366","https://www.somogyi.sk/product/nafukovaci-vianocny-stromcek-kd-240-k-17366")</f>
        <v>0.0</v>
      </c>
      <c r="E2238" s="7" t="n">
        <f>HYPERLINK("https://www.somogyi.sk/data/img/product_main_images/small/17366.jpg","https://www.somogyi.sk/data/img/product_main_images/small/17366.jpg")</f>
        <v>0.0</v>
      </c>
      <c r="F2238" s="2" t="inlineStr">
        <is>
          <t>5999084953881</t>
        </is>
      </c>
      <c r="G2238" s="4" t="inlineStr">
        <is>
          <t xml:space="preserve"> • vonkajšia / vnútorná: na vonkajšie / vnútorné použitie 
 • zabudovaný ventilátor: áno 
 • zabudované osvetlenie: s vnútorným LED projektorom a blikajúcimi LED 
 • ochrana proti vode: IPX1 figúrka: odolné voči zvisle dopadajúcim kvapkám vody 
 • príslušenstvo: 6 x kolík a 3 x upevňovacie lano 
 • napájanie: sieťový adaptér na vonkajšie použitie (je príslušenstvom) 
 • dĺžka napájacieho kábla: ~ 180 cm 
 • rozmery: 147 cm x 244 cm x 147 cm</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2025-04-29T23:00:14Z</dcterms:created>
  <dc:creator>Apache POI</dc:creator>
</cp:coreProperties>
</file>