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enník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b val="true"/>
    </font>
    <font>
      <name val="Arial"/>
      <sz val="8.0"/>
      <b val="true"/>
    </font>
    <font>
      <name val="Arial"/>
      <sz val="8.0"/>
    </font>
    <font>
      <name val="Arial"/>
      <sz val="8.0"/>
      <color indexed="12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8">
    <xf numFmtId="0" fontId="0" fillId="0" borderId="0" xfId="0"/>
    <xf numFmtId="4" fontId="2" fillId="0" borderId="4" xfId="0" applyNumberFormat="true" applyBorder="true" applyFont="true">
      <alignment horizontal="right" vertical="top"/>
    </xf>
    <xf numFmtId="0" fontId="3" fillId="0" borderId="4" xfId="0" applyNumberFormat="true" applyBorder="true" applyFont="true">
      <alignment vertical="top"/>
    </xf>
    <xf numFmtId="0" fontId="2" fillId="0" borderId="4" xfId="0" applyNumberFormat="true" applyBorder="true" applyFont="true">
      <alignment vertical="top"/>
    </xf>
    <xf numFmtId="0" fontId="3" fillId="0" borderId="4" xfId="0" applyNumberFormat="true" applyBorder="true" applyFont="true">
      <alignment vertical="justify"/>
    </xf>
    <xf numFmtId="0" fontId="1" fillId="0" borderId="4" xfId="0" applyFont="true" applyBorder="true">
      <alignment horizontal="center" vertical="top" wrapText="true"/>
    </xf>
    <xf numFmtId="0" fontId="1" fillId="3" borderId="4" xfId="0" applyFont="true" applyFill="true" applyBorder="true">
      <alignment horizontal="left" vertical="top"/>
    </xf>
    <xf numFmtId="0" fontId="4" fillId="0" borderId="4" xfId="0" applyFont="true" applyBorder="true">
      <alignment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39.0625" customWidth="true"/>
    <col min="2" max="2" width="39.0625" customWidth="true"/>
    <col min="3" max="3" width="19.53125" customWidth="true"/>
    <col min="4" max="4" width="50.78125" customWidth="true"/>
    <col min="5" max="5" width="50.78125" customWidth="true"/>
    <col min="6" max="6" width="12.5" customWidth="true"/>
    <col min="7" max="7" width="117.1875" customWidth="true"/>
  </cols>
  <sheetData>
    <row r="1" customHeight="true" ht="25.0">
      <c r="A1" s="5" t="inlineStr">
        <is>
          <t>Výrobok</t>
        </is>
      </c>
      <c r="B1" s="5" t="inlineStr">
        <is>
          <t>Pomenovanie</t>
        </is>
      </c>
      <c r="C1" s="5" t="inlineStr">
        <is>
          <t>Odpor. PC €</t>
        </is>
      </c>
      <c r="D1" s="5" t="inlineStr">
        <is>
          <t>Link</t>
        </is>
      </c>
      <c r="E1" s="5" t="inlineStr">
        <is>
          <t>Obraz</t>
        </is>
      </c>
      <c r="F1" s="5" t="inlineStr">
        <is>
          <t>EAN</t>
        </is>
      </c>
      <c r="G1" s="5" t="inlineStr">
        <is>
          <t>Description</t>
        </is>
      </c>
    </row>
    <row r="2">
      <c r="A2" s="6" t="inlineStr">
        <is>
          <t>N/A</t>
        </is>
      </c>
      <c r="B2" s="6" t="inlineStr">
        <is>
          <t/>
        </is>
      </c>
      <c r="C2" s="6" t="inlineStr">
        <is>
          <t/>
        </is>
      </c>
      <c r="D2" s="6" t="inlineStr">
        <is>
          <t/>
        </is>
      </c>
      <c r="E2" s="6" t="inlineStr">
        <is>
          <t/>
        </is>
      </c>
      <c r="F2" s="6" t="inlineStr">
        <is>
          <t/>
        </is>
      </c>
      <c r="G2" s="6" t="inlineStr">
        <is>
          <t/>
        </is>
      </c>
    </row>
    <row r="3">
      <c r="A3" s="3" t="inlineStr">
        <is>
          <t>10-302-005</t>
        </is>
      </c>
      <c r="B3" s="2" t="inlineStr">
        <is>
          <t>Panvica "Imperial", 28 cm</t>
        </is>
      </c>
      <c r="C3" s="1" t="n">
        <v>39.99</v>
      </c>
      <c r="D3" s="7" t="n">
        <f>HYPERLINK("https://www.somogyi.sk/product/panvica-imperial-28-cm-10-302-005-18355","https://www.somogyi.sk/product/panvica-imperial-28-cm-10-302-005-18355")</f>
        <v>0.0</v>
      </c>
      <c r="E3" s="7" t="n">
        <f>HYPERLINK("https://www.somogyi.sk/productimages/product_main_images/small/18355.jpg","https://www.somogyi.sk/productimages/product_main_images/small/18355.jpg")</f>
        <v>0.0</v>
      </c>
      <c r="F3" s="2" t="inlineStr">
        <is>
          <t>5205746179316</t>
        </is>
      </c>
      <c r="G3" s="4" t="inlineStr">
        <is>
          <t xml:space="preserve"> • ochranná vrstva proti pripáleniu: áno 
 • objem: 2,9 l 
 • ďalšie informácie: hmotnosť: 1,1 kg 
 • materiál: liaty hliník</t>
        </is>
      </c>
    </row>
    <row r="4">
      <c r="A4" s="3" t="inlineStr">
        <is>
          <t>10-239-003</t>
        </is>
      </c>
      <c r="B4" s="2" t="inlineStr">
        <is>
          <t>Plech "Imperial", 43 cm</t>
        </is>
      </c>
      <c r="C4" s="1" t="n">
        <v>7.29</v>
      </c>
      <c r="D4" s="7" t="n">
        <f>HYPERLINK("https://www.somogyi.sk/product/plech-imperial-43-cm-10-239-003-18363","https://www.somogyi.sk/product/plech-imperial-43-cm-10-239-003-18363")</f>
        <v>0.0</v>
      </c>
      <c r="E4" s="7" t="n">
        <f>HYPERLINK("https://www.somogyi.sk/productimages/product_main_images/small/18363.jpg","https://www.somogyi.sk/productimages/product_main_images/small/18363.jpg")</f>
        <v>0.0</v>
      </c>
      <c r="F4" s="2" t="inlineStr">
        <is>
          <t>5205746153477</t>
        </is>
      </c>
      <c r="G4" s="4" t="inlineStr">
        <is>
          <t xml:space="preserve"> • ochranná vrstva proti pripáleniu: áno 
 • rozmery: 29 x 43,5 cm</t>
        </is>
      </c>
    </row>
    <row r="5">
      <c r="A5" s="3" t="inlineStr">
        <is>
          <t>10-103-158</t>
        </is>
      </c>
      <c r="B5" s="2" t="inlineStr">
        <is>
          <t>Forma na ovocnú tortu "Imperial", 28 cm</t>
        </is>
      </c>
      <c r="C5" s="1" t="n">
        <v>6.49</v>
      </c>
      <c r="D5" s="7" t="n">
        <f>HYPERLINK("https://www.somogyi.sk/product/forma-na-ovocnu-tortu-imperial-28-cm-10-103-158-18368","https://www.somogyi.sk/product/forma-na-ovocnu-tortu-imperial-28-cm-10-103-158-18368")</f>
        <v>0.0</v>
      </c>
      <c r="E5" s="7" t="n">
        <f>HYPERLINK("https://www.somogyi.sk/productimages/product_main_images/small/18368.jpg","https://www.somogyi.sk/productimages/product_main_images/small/18368.jpg")</f>
        <v>0.0</v>
      </c>
      <c r="F5" s="2" t="inlineStr">
        <is>
          <t>5205746152494</t>
        </is>
      </c>
      <c r="G5" s="4" t="inlineStr">
        <is>
          <t xml:space="preserve"> • rozmery: Ø28 cm 
 • objem: max.1,5 l 
 • ochranná vrstva proti pripáleniu: áno</t>
        </is>
      </c>
    </row>
    <row r="6">
      <c r="A6" s="3" t="inlineStr">
        <is>
          <t>10-302-004</t>
        </is>
      </c>
      <c r="B6" s="2" t="inlineStr">
        <is>
          <t>Panvica "Imperial", 26 cm</t>
        </is>
      </c>
      <c r="C6" s="1" t="n">
        <v>36.99</v>
      </c>
      <c r="D6" s="7" t="n">
        <f>HYPERLINK("https://www.somogyi.sk/product/panvica-imperial-26-cm-10-302-004-18354","https://www.somogyi.sk/product/panvica-imperial-26-cm-10-302-004-18354")</f>
        <v>0.0</v>
      </c>
      <c r="E6" s="7" t="n">
        <f>HYPERLINK("https://www.somogyi.sk/productimages/product_main_images/small/18354.jpg","https://www.somogyi.sk/productimages/product_main_images/small/18354.jpg")</f>
        <v>0.0</v>
      </c>
      <c r="F6" s="2" t="inlineStr">
        <is>
          <t>5205746000115</t>
        </is>
      </c>
      <c r="G6" s="4" t="inlineStr">
        <is>
          <t xml:space="preserve"> • ochranná vrstva proti pripáleniu: áno 
 • 2,5 l 
 •  
 • materiál: liaty hliník</t>
        </is>
      </c>
    </row>
    <row r="7">
      <c r="A7" s="3" t="inlineStr">
        <is>
          <t>10-302-003</t>
        </is>
      </c>
      <c r="B7" s="2" t="inlineStr">
        <is>
          <t>Panvica "Imperial", 24 cm</t>
        </is>
      </c>
      <c r="C7" s="1" t="n">
        <v>31.99</v>
      </c>
      <c r="D7" s="7" t="n">
        <f>HYPERLINK("https://www.somogyi.sk/product/panvica-imperial-24-cm-10-302-003-18353","https://www.somogyi.sk/product/panvica-imperial-24-cm-10-302-003-18353")</f>
        <v>0.0</v>
      </c>
      <c r="E7" s="7" t="n">
        <f>HYPERLINK("https://www.somogyi.sk/productimages/product_main_images/small/18353.jpg","https://www.somogyi.sk/productimages/product_main_images/small/18353.jpg")</f>
        <v>0.0</v>
      </c>
      <c r="F7" s="2" t="inlineStr">
        <is>
          <t>5205746179323</t>
        </is>
      </c>
      <c r="G7" s="4" t="inlineStr">
        <is>
          <t xml:space="preserve"> • ochranná vrstva proti pripáleniu: áno 
 • objem: 1,8 l 
 • materiál: liaty hliník</t>
        </is>
      </c>
    </row>
    <row r="8">
      <c r="A8" s="3" t="inlineStr">
        <is>
          <t>10-302-001</t>
        </is>
      </c>
      <c r="B8" s="2" t="inlineStr">
        <is>
          <t>Panvica "Imperial", 20 cm</t>
        </is>
      </c>
      <c r="C8" s="1" t="n">
        <v>23.99</v>
      </c>
      <c r="D8" s="7" t="n">
        <f>HYPERLINK("https://www.somogyi.sk/product/panvica-imperial-20-cm-10-302-001-18352","https://www.somogyi.sk/product/panvica-imperial-20-cm-10-302-001-18352")</f>
        <v>0.0</v>
      </c>
      <c r="E8" s="7" t="n">
        <f>HYPERLINK("https://www.somogyi.sk/productimages/product_main_images/small/18352.jpg","https://www.somogyi.sk/productimages/product_main_images/small/18352.jpg")</f>
        <v>0.0</v>
      </c>
      <c r="F8" s="2" t="inlineStr">
        <is>
          <t>5205746179361</t>
        </is>
      </c>
      <c r="G8" s="4" t="inlineStr">
        <is>
          <t xml:space="preserve"> • ochranná vrstva proti pripáleniu: áno 
 • objem: 1,2 l 
 • materiál: liaty hliník</t>
        </is>
      </c>
    </row>
    <row r="9">
      <c r="A9" s="3" t="inlineStr">
        <is>
          <t>10-274-001</t>
        </is>
      </c>
      <c r="B9" s="2" t="inlineStr">
        <is>
          <t>Odmerka s digitálnym displejom "Imperial", 5 kg</t>
        </is>
      </c>
      <c r="C9" s="1" t="n">
        <v>18.99</v>
      </c>
      <c r="D9" s="7" t="n">
        <f>HYPERLINK("https://www.somogyi.sk/product/odmerka-s-digitalnym-displejom-imperial-5-kg-10-274-001-18348","https://www.somogyi.sk/product/odmerka-s-digitalnym-displejom-imperial-5-kg-10-274-001-18348")</f>
        <v>0.0</v>
      </c>
      <c r="E9" s="7" t="n">
        <f>HYPERLINK("https://www.somogyi.sk/productimages/product_main_images/small/18348.jpg","https://www.somogyi.sk/productimages/product_main_images/small/18348.jpg")</f>
        <v>0.0</v>
      </c>
      <c r="F9" s="2" t="inlineStr">
        <is>
          <t>5205746175592</t>
        </is>
      </c>
      <c r="G9" s="4" t="inlineStr">
        <is>
          <t xml:space="preserve"> • displej: LED 
 • meracia hranica: max. hmotnosť: 5 kg 
 • presnosť merania: 1 g 
 • funkcia TARE: áno 
 • voliteľná jednotka merania: gr, oz, ml 
 • vypnutie: automatické vypnutie po 2 minútach 
 • zobrazenie nízkeho napätia: áno 
 • zobrazenie preťaženia: áno 
 • napájanie: 2 x 1,5 V (AAA) batéria, nie je príslušenstvom 
 • rozmery: 21,5 x 17 x 14,5 cm 
 • hmotnosť: 0,33 kg 
 • ďalšie informácie: tlačidlo za-/vypnutia</t>
        </is>
      </c>
    </row>
    <row r="10">
      <c r="A10" s="3" t="inlineStr">
        <is>
          <t>10-103-157</t>
        </is>
      </c>
      <c r="B10" s="2" t="inlineStr">
        <is>
          <t>Forma na bábovku "Imperial", 27 cm</t>
        </is>
      </c>
      <c r="C10" s="1" t="n">
        <v>12.49</v>
      </c>
      <c r="D10" s="7" t="n">
        <f>HYPERLINK("https://www.somogyi.sk/product/forma-na-babovku-imperial-27-cm-10-103-157-18367","https://www.somogyi.sk/product/forma-na-babovku-imperial-27-cm-10-103-157-18367")</f>
        <v>0.0</v>
      </c>
      <c r="E10" s="7" t="n">
        <f>HYPERLINK("https://www.somogyi.sk/productimages/product_main_images/small/18367.jpg","https://www.somogyi.sk/productimages/product_main_images/small/18367.jpg")</f>
        <v>0.0</v>
      </c>
      <c r="F10" s="2" t="inlineStr">
        <is>
          <t>5205746153118</t>
        </is>
      </c>
      <c r="G10" s="4" t="inlineStr">
        <is>
          <t xml:space="preserve"> • rozmery: Ø27 cm 
 • ochranná vrstva proti pripáleniu: áno 
 • objem: max.3 l</t>
        </is>
      </c>
    </row>
    <row r="11">
      <c r="A11" s="3" t="inlineStr">
        <is>
          <t>10-111-081</t>
        </is>
      </c>
      <c r="B11" s="2" t="inlineStr">
        <is>
          <t>Silikónové rukavice</t>
        </is>
      </c>
      <c r="C11" s="1" t="n">
        <v>10.99</v>
      </c>
      <c r="D11" s="7" t="n">
        <f>HYPERLINK("https://www.somogyi.sk/product/silikonove-rukavice-10-111-081-18361","https://www.somogyi.sk/product/silikonove-rukavice-10-111-081-18361")</f>
        <v>0.0</v>
      </c>
      <c r="E11" s="7" t="n">
        <f>HYPERLINK("https://www.somogyi.sk/productimages/product_main_images/small/18361.jpg","https://www.somogyi.sk/productimages/product_main_images/small/18361.jpg")</f>
        <v>0.0</v>
      </c>
      <c r="F11" s="2" t="inlineStr">
        <is>
          <t>5205746117936</t>
        </is>
      </c>
      <c r="G11" s="4" t="inlineStr">
        <is>
          <t xml:space="preserve"> • rozmery: 19 x 30 cm</t>
        </is>
      </c>
    </row>
    <row r="12">
      <c r="A12" s="3" t="inlineStr">
        <is>
          <t>10-239-030</t>
        </is>
      </c>
      <c r="B12" s="2" t="inlineStr">
        <is>
          <t>Okrúhla forma na pečenie "Imperial", 28cm</t>
        </is>
      </c>
      <c r="C12" s="1" t="n">
        <v>11.99</v>
      </c>
      <c r="D12" s="7" t="n">
        <f>HYPERLINK("https://www.somogyi.sk/product/okruhla-forma-na-pecenie-imperial-28cm-10-239-030-18366","https://www.somogyi.sk/product/okruhla-forma-na-pecenie-imperial-28cm-10-239-030-18366")</f>
        <v>0.0</v>
      </c>
      <c r="E12" s="7" t="n">
        <f>HYPERLINK("https://www.somogyi.sk/productimages/product_main_images/small/18366.jpg","https://www.somogyi.sk/productimages/product_main_images/small/18366.jpg")</f>
        <v>0.0</v>
      </c>
      <c r="F12" s="2" t="inlineStr">
        <is>
          <t>5205746153637</t>
        </is>
      </c>
      <c r="G12" s="4" t="inlineStr">
        <is>
          <t xml:space="preserve"> • rozmery: Ø28 cm 
 • ochranná vrstva proti pripáleniu: áno 
 • objem: 3 l</t>
        </is>
      </c>
    </row>
    <row r="13">
      <c r="A13" s="3" t="inlineStr">
        <is>
          <t>10-104-007</t>
        </is>
      </c>
      <c r="B13" s="2" t="inlineStr">
        <is>
          <t>Nava výlevka 600 ml</t>
        </is>
      </c>
      <c r="C13" s="1" t="n">
        <v>11.99</v>
      </c>
      <c r="D13" s="7" t="n">
        <f>HYPERLINK("https://www.somogyi.sk/product/nava-vylevka-600-ml-10-104-007-17683","https://www.somogyi.sk/product/nava-vylevka-600-ml-10-104-007-17683")</f>
        <v>0.0</v>
      </c>
      <c r="E13" s="7" t="n">
        <f>HYPERLINK("https://www.somogyi.sk/productimages/product_main_images/small/17683.jpg","https://www.somogyi.sk/productimages/product_main_images/small/17683.jpg")</f>
        <v>0.0</v>
      </c>
      <c r="F13" s="2" t="inlineStr">
        <is>
          <t>5205746886504</t>
        </is>
      </c>
      <c r="G13" s="4" t="inlineStr">
        <is>
          <t xml:space="preserve"> • ostatný popis: 600 ml objem • nepriľnavá kameninová vrstva • vhodný do umývačky riadu</t>
        </is>
      </c>
    </row>
    <row r="14">
      <c r="A14" s="3" t="inlineStr">
        <is>
          <t>10-144-100</t>
        </is>
      </c>
      <c r="B14" s="2" t="inlineStr">
        <is>
          <t>Nava panvica 20 cm</t>
        </is>
      </c>
      <c r="C14" s="1" t="n">
        <v>18.99</v>
      </c>
      <c r="D14" s="7" t="n">
        <f>HYPERLINK("https://www.somogyi.sk/product/nava-panvica-20-cm-10-144-100-17676","https://www.somogyi.sk/product/nava-panvica-20-cm-10-144-100-17676")</f>
        <v>0.0</v>
      </c>
      <c r="E14" s="7" t="n">
        <f>HYPERLINK("https://www.somogyi.sk/productimages/product_main_images/small/17676.jpg","https://www.somogyi.sk/productimages/product_main_images/small/17676.jpg")</f>
        <v>0.0</v>
      </c>
      <c r="F14" s="2" t="inlineStr">
        <is>
          <t>5205746087253</t>
        </is>
      </c>
      <c r="G14" s="4" t="inlineStr">
        <is>
          <t xml:space="preserve"> • ochranná vrstva proti pripáleniu: nepriľnavá kameninová vrstva 
 • N/A: vhodný aj na indukčnú varnú dosku 
 • rozmery: ∅20 cm 
 • ďalšie informácie: závesný 
 • N/A: umývateľný aj v umývačke riadu</t>
        </is>
      </c>
    </row>
    <row r="15">
      <c r="A15" s="3" t="inlineStr">
        <is>
          <t>10-239-006</t>
        </is>
      </c>
      <c r="B15" s="2" t="inlineStr">
        <is>
          <t>Forma na chlieb "Imperial", 30 cm</t>
        </is>
      </c>
      <c r="C15" s="1" t="n">
        <v>7.29</v>
      </c>
      <c r="D15" s="7" t="n">
        <f>HYPERLINK("https://www.somogyi.sk/product/forma-na-chlieb-imperial-30-cm-10-239-006-18369","https://www.somogyi.sk/product/forma-na-chlieb-imperial-30-cm-10-239-006-18369")</f>
        <v>0.0</v>
      </c>
      <c r="E15" s="7" t="n">
        <f>HYPERLINK("https://www.somogyi.sk/productimages/product_main_images/small/18369.jpg","https://www.somogyi.sk/productimages/product_main_images/small/18369.jpg")</f>
        <v>0.0</v>
      </c>
      <c r="F15" s="2" t="inlineStr">
        <is>
          <t>5205746153743</t>
        </is>
      </c>
      <c r="G15" s="4" t="inlineStr">
        <is>
          <t xml:space="preserve"> • rozmery: 11 x 30 cm 
 • ochranná vrstva proti pripáleniu: áno 
 • objem: max.2 l</t>
        </is>
      </c>
    </row>
    <row r="16">
      <c r="A16" s="6" t="inlineStr">
        <is>
          <t xml:space="preserve">      Chladenie / Klimatizácia / Klimatizácia</t>
        </is>
      </c>
      <c r="B16" s="6" t="inlineStr">
        <is>
          <t/>
        </is>
      </c>
      <c r="C16" s="6" t="inlineStr">
        <is>
          <t/>
        </is>
      </c>
      <c r="D16" s="6" t="inlineStr">
        <is>
          <t/>
        </is>
      </c>
      <c r="E16" s="6" t="inlineStr">
        <is>
          <t/>
        </is>
      </c>
      <c r="F16" s="6" t="inlineStr">
        <is>
          <t/>
        </is>
      </c>
      <c r="G16" s="6" t="inlineStr">
        <is>
          <t/>
        </is>
      </c>
    </row>
    <row r="17">
      <c r="A17" s="3" t="inlineStr">
        <is>
          <t>ACH 12000</t>
        </is>
      </c>
      <c r="B17" s="2" t="inlineStr">
        <is>
          <t>Mobilná klimatizácia</t>
        </is>
      </c>
      <c r="C17" s="1" t="n">
        <v>499.9</v>
      </c>
      <c r="D17" s="7" t="n">
        <f>HYPERLINK("https://www.somogyi.sk/product/mobilna-klimatizacia-ach-12000-18026","https://www.somogyi.sk/product/mobilna-klimatizacia-ach-12000-18026")</f>
        <v>0.0</v>
      </c>
      <c r="E17" s="7" t="n">
        <f>HYPERLINK("https://www.somogyi.sk/productimages/product_main_images/small/18026.jpg","https://www.somogyi.sk/productimages/product_main_images/small/18026.jpg")</f>
        <v>0.0</v>
      </c>
      <c r="F17" s="2" t="inlineStr">
        <is>
          <t>5999084960483</t>
        </is>
      </c>
      <c r="G17" s="4" t="inlineStr">
        <is>
          <t xml:space="preserve"> • kapacita chladenia: 3,5 kW / 12000 BTU/h 
 • vykurovací výkon: 3,3 kW / 12000 BTU/h 
 • typy prevádzok: 4 režimy: chladenie, ventilátor, vietor, ohrievanie 
 • funkcie: všetky funkcie na diaľkové ovládanie 
 • wifi: WiFi 2,4 GHz 
 • displej: digitálny 
 •  
 • energetická trieda chladenie / kúrenie: A / A 
 • hlučnosť: 65 dB(A) 
 • napätie, frekvencia, fáza: 220-240 V~ / 50 Hz 
 • menovitý výkon chladenie / kúrenie: 1370 W 
 • prietok vzduchu: 450 m³ / h 
 • chladiace médium: R290 
 • rozmery: 44 x 82 x 35 cm 
 • hmotnosť: netto 27 kg</t>
        </is>
      </c>
    </row>
    <row r="18">
      <c r="A18" s="3" t="inlineStr">
        <is>
          <t>WSL 4</t>
        </is>
      </c>
      <c r="B18" s="2" t="inlineStr">
        <is>
          <t>Izolácia do okna k mobilnej klimatizácii, 4 m</t>
        </is>
      </c>
      <c r="C18" s="1" t="n">
        <v>27.99</v>
      </c>
      <c r="D18" s="7" t="n">
        <f>HYPERLINK("https://www.somogyi.sk/product/izolacia-do-okna-k-mobilnej-klimatizacii-4-m-wsl-4-17704","https://www.somogyi.sk/product/izolacia-do-okna-k-mobilnej-klimatizacii-4-m-wsl-4-17704")</f>
        <v>0.0</v>
      </c>
      <c r="E18" s="7" t="n">
        <f>HYPERLINK("https://www.somogyi.sk/productimages/product_main_images/small/17704.jpg","https://www.somogyi.sk/productimages/product_main_images/small/17704.jpg")</f>
        <v>0.0</v>
      </c>
      <c r="F18" s="2" t="inlineStr">
        <is>
          <t>5999084957261</t>
        </is>
      </c>
      <c r="G18" s="4" t="inlineStr">
        <is>
          <t xml:space="preserve"> • rozmery: dĺžka: 4 m</t>
        </is>
      </c>
    </row>
    <row r="19">
      <c r="A19" s="3" t="inlineStr">
        <is>
          <t>ACM 12000</t>
        </is>
      </c>
      <c r="B19" s="2" t="inlineStr">
        <is>
          <t>Mobilná klimatizácia, 3,51kW, R290</t>
        </is>
      </c>
      <c r="C19" s="1" t="n">
        <v>449.9</v>
      </c>
      <c r="D19" s="7" t="n">
        <f>HYPERLINK("https://www.somogyi.sk/product/mobilna-klimatizacia-3-51kw-r290-acm-12000-16672","https://www.somogyi.sk/product/mobilna-klimatizacia-3-51kw-r290-acm-12000-16672")</f>
        <v>0.0</v>
      </c>
      <c r="E19" s="7" t="n">
        <f>HYPERLINK("https://www.somogyi.sk/productimages/product_main_images/small/16672.jpg","https://www.somogyi.sk/productimages/product_main_images/small/16672.jpg")</f>
        <v>0.0</v>
      </c>
      <c r="F19" s="2" t="inlineStr">
        <is>
          <t>5999084947040</t>
        </is>
      </c>
      <c r="G19" s="4" t="inlineStr">
        <is>
          <t xml:space="preserve"> • kapacita chladenia: 3,5 kW / 12000 BTU/h 
 • typy prevádzok: 3 režimy: chladenie, sušenie, vetranie 
 • funkcie: všetky funkcie na diaľkové ovládanie 
 • displej: digitálny 
 • filter: umývateľný 
 • energetická trieda chladenie / kúrenie: A 
 • hlučnosť: 65 dB(A) 
 • napätie, frekvencia, fáza: 220-240 V~ / 50 Hz 
 • menovitý výkon chladenie / kúrenie: 1370 W 
 • prietok vzduchu: 450 m³ / h 
 • chladiace médium: R290 
 • rozmery: 44 x 82 x 35 cm 
 • hmotnosť: netto 27 kg</t>
        </is>
      </c>
    </row>
    <row r="20">
      <c r="A20" s="3" t="inlineStr">
        <is>
          <t>ACM 9000</t>
        </is>
      </c>
      <c r="B20" s="2" t="inlineStr">
        <is>
          <t>Mobilná klimatizácia, 2,6kW, R290</t>
        </is>
      </c>
      <c r="C20" s="1" t="n">
        <v>376.9</v>
      </c>
      <c r="D20" s="7" t="n">
        <f>HYPERLINK("https://www.somogyi.sk/product/mobilna-klimatizacia-2-6kw-r290-acm-9000-16671","https://www.somogyi.sk/product/mobilna-klimatizacia-2-6kw-r290-acm-9000-16671")</f>
        <v>0.0</v>
      </c>
      <c r="E20" s="7" t="n">
        <f>HYPERLINK("https://www.somogyi.sk/productimages/product_main_images/small/16671.jpg","https://www.somogyi.sk/productimages/product_main_images/small/16671.jpg")</f>
        <v>0.0</v>
      </c>
      <c r="F20" s="2" t="inlineStr">
        <is>
          <t>5999084947033</t>
        </is>
      </c>
      <c r="G20" s="4" t="inlineStr">
        <is>
          <t xml:space="preserve"> • kapacita chladenia: 2,64 kW / 9000 BTU / h 
 • typy prevádzok: 3 režimy: chladenie, sušenie, vetranie 
 • funkcie: všetky funkcie na diaľkové ovládanie 
 • displej: digitálny 
 • filter: umývateľný 
 • energetická trieda chladenie / kúrenie: A 
 • hlučnosť: 65 dB(A) 
 • napätie, frekvencia, fáza: 220-240 V~ / 50 Hz 
 • menovitý výkon chladenie / kúrenie: 1000 W 
 • prietok vzduchu: 360 m³ / h 
 • chladiace médium: R290 
 • rozmery: 42 x 80 x 35 cm 
 • hmotnosť: netto 25 kg</t>
        </is>
      </c>
    </row>
    <row r="21">
      <c r="A21" s="6" t="inlineStr">
        <is>
          <t xml:space="preserve">   Chladenie / Ventilátor s parou</t>
        </is>
      </c>
      <c r="B21" s="6" t="inlineStr">
        <is>
          <t/>
        </is>
      </c>
      <c r="C21" s="6" t="inlineStr">
        <is>
          <t/>
        </is>
      </c>
      <c r="D21" s="6" t="inlineStr">
        <is>
          <t/>
        </is>
      </c>
      <c r="E21" s="6" t="inlineStr">
        <is>
          <t/>
        </is>
      </c>
      <c r="F21" s="6" t="inlineStr">
        <is>
          <t/>
        </is>
      </c>
      <c r="G21" s="6" t="inlineStr">
        <is>
          <t/>
        </is>
      </c>
    </row>
    <row r="22">
      <c r="A22" s="3" t="inlineStr">
        <is>
          <t>SFM 41/BK</t>
        </is>
      </c>
      <c r="B22" s="2" t="inlineStr">
        <is>
          <t>Ventilátor s parou</t>
        </is>
      </c>
      <c r="C22" s="1" t="n">
        <v>88.99</v>
      </c>
      <c r="D22" s="7" t="n">
        <f>HYPERLINK("https://www.somogyi.sk/product/ventilator-s-parou-sfm-41-bk-16765","https://www.somogyi.sk/product/ventilator-s-parou-sfm-41-bk-16765")</f>
        <v>0.0</v>
      </c>
      <c r="E22" s="7" t="n">
        <f>HYPERLINK("https://www.somogyi.sk/productimages/product_main_images/small/16765.jpg","https://www.somogyi.sk/productimages/product_main_images/small/16765.jpg")</f>
        <v>0.0</v>
      </c>
      <c r="F22" s="2" t="inlineStr">
        <is>
          <t>5999084947972</t>
        </is>
      </c>
      <c r="G22" s="4" t="inlineStr">
        <is>
          <t xml:space="preserve"> • farba: čierna 
 • priemer vrtule: 40 cm 
 • diaľkový ovládač: áno 
 • oscilácia: zapínateľná 75° oscilácia 
 • nádrž na vodu: 3,2 l 
 • časovač vypnutia: 0,5 - 7,5 h časovač vypnutia ventilátora 
 • stupne rýchlosti: 3 
 • režim ventilátora: normálny, prirodzený, nočný 
 • pojazdné kolieska: nie 
 • výkon: 75 W 
 • hlučnosť: 53 dB(A) 
 • dĺžka napájacieho kábla: 1,7 m 
 • napájanie: 230 V~  / 50 Hz 
 • napájanie diaľkového ovládača: 2 x AAA 
 • rozmery: 44 x 125 x 40 cm 
 • hmotnosť: 8,7 kg</t>
        </is>
      </c>
    </row>
    <row r="23">
      <c r="A23" s="3" t="inlineStr">
        <is>
          <t>CMF 64/A</t>
        </is>
      </c>
      <c r="B23" s="2" t="inlineStr">
        <is>
          <t>Centrifugálny ventilátor s parou</t>
        </is>
      </c>
      <c r="C23" s="1" t="n">
        <v>47.99</v>
      </c>
      <c r="D23" s="7" t="n">
        <f>HYPERLINK("https://www.somogyi.sk/product/centrifugalny-ventilator-s-parou-cmf-64-a-16755","https://www.somogyi.sk/product/centrifugalny-ventilator-s-parou-cmf-64-a-16755")</f>
        <v>0.0</v>
      </c>
      <c r="E23" s="7" t="n">
        <f>HYPERLINK("https://www.somogyi.sk/productimages/product_main_images/small/16755.jpg","https://www.somogyi.sk/productimages/product_main_images/small/16755.jpg")</f>
        <v>0.0</v>
      </c>
      <c r="F23" s="2" t="inlineStr">
        <is>
          <t>5999084947873</t>
        </is>
      </c>
      <c r="G23" s="4" t="inlineStr">
        <is>
          <t>&lt;span style="color:red;"&gt;Centrifugálny ventilátor s parou typu CMF 64 je zabalený do 3 krabíc kvôli jeho veľkým rozmerom.
(CMF 64/A, CMF 64/B, CMF 64/C)
Pri objednávaní dbajte na to, že CMF 64/A môžete objednať iba spolu s CMF 64/B a CMF 64/C.
Prosíme, pri objednávaní vložte do košíka všetky 3 časti výrobku!&lt;/span&gt;</t>
        </is>
      </c>
    </row>
    <row r="24">
      <c r="A24" s="3" t="inlineStr">
        <is>
          <t>CMF 64/C</t>
        </is>
      </c>
      <c r="B24" s="2" t="inlineStr">
        <is>
          <t>Centrifugálny ventilátor s parou</t>
        </is>
      </c>
      <c r="C24" s="1" t="n">
        <v>210.9</v>
      </c>
      <c r="D24" s="7" t="n">
        <f>HYPERLINK("https://www.somogyi.sk/product/centrifugalny-ventilator-s-parou-cmf-64-c-16757","https://www.somogyi.sk/product/centrifugalny-ventilator-s-parou-cmf-64-c-16757")</f>
        <v>0.0</v>
      </c>
      <c r="E24" s="7" t="n">
        <f>HYPERLINK("https://www.somogyi.sk/productimages/product_main_images/small/16757.jpg","https://www.somogyi.sk/productimages/product_main_images/small/16757.jpg")</f>
        <v>0.0</v>
      </c>
      <c r="F24" s="2" t="inlineStr">
        <is>
          <t>5999084947897</t>
        </is>
      </c>
      <c r="G24" s="4" t="inlineStr">
        <is>
          <t>&lt;span style="color:red;"&gt;Centrifugálny ventilátor s parou typu CMF 64 je zabalený do 3 krabíc kvôli jeho veľkým rozmerom.
(CMF 64/A, CMF 64/B, CMF 64/C)
Pri objednávaní dbajte na to, že CMF 64/C môžete objednať iba spolu s CMF 64/A a CMF 64/B.
Prosíme, pri objednávaní vložte do košíka všetky 3 časti výrobku!&lt;/span&gt;</t>
        </is>
      </c>
    </row>
    <row r="25">
      <c r="A25" s="3" t="inlineStr">
        <is>
          <t>SFM 40/WH</t>
        </is>
      </c>
      <c r="B25" s="2" t="inlineStr">
        <is>
          <t>Ventilátor s parou, biela, 90 W</t>
        </is>
      </c>
      <c r="C25" s="1" t="n">
        <v>130.9</v>
      </c>
      <c r="D25" s="7" t="n">
        <f>HYPERLINK("https://www.somogyi.sk/product/ventilator-s-parou-biela-90-w-sfm-40-wh-15135","https://www.somogyi.sk/product/ventilator-s-parou-biela-90-w-sfm-40-wh-15135")</f>
        <v>0.0</v>
      </c>
      <c r="E25" s="7" t="n">
        <f>HYPERLINK("https://www.somogyi.sk/productimages/product_main_images/small/15135.jpg","https://www.somogyi.sk/productimages/product_main_images/small/15135.jpg")</f>
        <v>0.0</v>
      </c>
      <c r="F25" s="2" t="inlineStr">
        <is>
          <t>5999084931698</t>
        </is>
      </c>
      <c r="G25" s="4" t="inlineStr">
        <is>
          <t xml:space="preserve"> • farba: biela 
 • priemer vrtule: 40 cm 
 • dotykový panel: áno 
 • diaľkový ovládač: áno 
 • oscilácia: zapínateľná 75° oscilácia 
 • stupne rozprašovania: 3 stupne zvlhčovania, zapínateľný nezávisle od ventilátora 
 • nádrž na vodu: 3 L (12 h zvlhčovanie) 
 • časovač vypnutia: 0,5 - 7,5 h časovač vypnutia ventilátora 
 • stupne rýchlosti: 3 
 • režim ventilátora: normálny, prirodzený, nočný 
 • pojazdné kolieska: áno 
 • výkon: 90 W 
 • hlučnosť: 53,57 dB(A) 
 • dĺžka napájacieho kábla: 1,6 m 
 • napájanie: 230 V~  / 50 Hz 
 • napájanie diaľkového ovládača: CR 2025 1 ks (je príslušenstvom) 
 • rozmery: 43 x 121 x 38 cm 
 • hmotnosť: 5 kg</t>
        </is>
      </c>
    </row>
    <row r="26">
      <c r="A26" s="3" t="inlineStr">
        <is>
          <t>SFM 42/BK</t>
        </is>
      </c>
      <c r="B26" s="2" t="inlineStr">
        <is>
          <t>Ventilátor s parou, čierny, 40 cm, 90 W</t>
        </is>
      </c>
      <c r="C26" s="1" t="n">
        <v>160.9</v>
      </c>
      <c r="D26" s="7" t="n">
        <f>HYPERLINK("https://www.somogyi.sk/product/ventilator-s-parou-cierny-40-cm-90-w-sfm-42-bk-14423","https://www.somogyi.sk/product/ventilator-s-parou-cierny-40-cm-90-w-sfm-42-bk-14423")</f>
        <v>0.0</v>
      </c>
      <c r="E26" s="7" t="n">
        <f>HYPERLINK("https://www.somogyi.sk/productimages/product_main_images/small/14423.jpg","https://www.somogyi.sk/productimages/product_main_images/small/14423.jpg")</f>
        <v>0.0</v>
      </c>
      <c r="F26" s="2" t="inlineStr">
        <is>
          <t>5999084924713</t>
        </is>
      </c>
      <c r="G26" s="4" t="inlineStr">
        <is>
          <t xml:space="preserve"> • farba: čierna 
 • priemer vrtule: 40 cm 
 • dotykový panel: áno 
 • diaľkový ovládač: áno 
 • oscilácia: 75° 
 • stupne rozprašovania: 3 
 • nádrž na vodu: 3,1 l 
 • časovač vypnutia: áno 
 • stupne rýchlosti: 3 
 • režim ventilátora: normálny, prirodzený, nočný 
 • ionizátor: áno 
 • priehradky odpudz. hmyzu s ohrievaním: áno 
 • priehradky na vôňu: áno 
 • pojazdné kolieska: áno 
 • výkon: 90 W 
 • hlučnosť: 66 dB(A) 
 • dĺžka napájacieho kábla: 1,65 m 
 • napájanie: 230 V~  / 50 Hz 
 • napájanie diaľkového ovládača: 2 x AAA 
 • rozmery: 45 x 40 x 135 cm 
 • hmotnosť: 8,8 kg</t>
        </is>
      </c>
    </row>
    <row r="27">
      <c r="A27" s="3" t="inlineStr">
        <is>
          <t>SFM43BK</t>
        </is>
      </c>
      <c r="B27" s="2" t="inlineStr">
        <is>
          <t>Ventilátor s parou, čierny, 75 W</t>
        </is>
      </c>
      <c r="C27" s="1" t="n">
        <v>87.99</v>
      </c>
      <c r="D27" s="7" t="n">
        <f>HYPERLINK("https://www.somogyi.sk/product/ventilator-s-parou-cierny-75-w-sfm43bk-18377","https://www.somogyi.sk/product/ventilator-s-parou-cierny-75-w-sfm43bk-18377")</f>
        <v>0.0</v>
      </c>
      <c r="E27" s="7" t="n">
        <f>HYPERLINK("https://www.somogyi.sk/productimages/product_main_images/small/18377.jpg","https://www.somogyi.sk/productimages/product_main_images/small/18377.jpg")</f>
        <v>0.0</v>
      </c>
      <c r="F27" s="2" t="inlineStr">
        <is>
          <t>5999084963958</t>
        </is>
      </c>
      <c r="G27" s="4" t="inlineStr">
        <is>
          <t xml:space="preserve"> • menovitý priemer vrtule: 40 cm 
 • 3 lopatky ventilátora 
 • ovládanie elektronickými fóliovými tlačidlami alebo diaľkovým ovládačom 
 • 3 stupne rýchlosti 
 • režimy: normálny, prirodzený vietor a nočný  
 • zapínateľná oscilácia 
 • časovač vypnutia 0,5-7,5 h 
 • nastaviteľný uhol sklonu hlavy 
 • nádrž na vodu, 2,8 l 
 • zvlhčovanie je nastaviteľné v 3 stupňoch, možno použiť aj samostatne 
 • max. 220 g / h zvlhčovanie 
 • ľahká manipulácia pomocou koliesok 
 • hlučnosť: LWA=56,7 dB(A) 
 • napájanie diaľkového ovládača: 2 x 1,5 V (AAA) batéria, nie je príslušenstvom 
 • napájanie: 220-240 V~ 50/60 Hz 75 W</t>
        </is>
      </c>
    </row>
    <row r="28">
      <c r="A28" s="3" t="inlineStr">
        <is>
          <t>CMF 64/B</t>
        </is>
      </c>
      <c r="B28" s="2" t="inlineStr">
        <is>
          <t>Centrifugálny ventilátor s parou</t>
        </is>
      </c>
      <c r="C28" s="1" t="n">
        <v>63.99</v>
      </c>
      <c r="D28" s="7" t="n">
        <f>HYPERLINK("https://www.somogyi.sk/product/centrifugalny-ventilator-s-parou-cmf-64-b-16756","https://www.somogyi.sk/product/centrifugalny-ventilator-s-parou-cmf-64-b-16756")</f>
        <v>0.0</v>
      </c>
      <c r="E28" s="7" t="n">
        <f>HYPERLINK("https://www.somogyi.sk/productimages/product_main_images/small/16756.jpg","https://www.somogyi.sk/productimages/product_main_images/small/16756.jpg")</f>
        <v>0.0</v>
      </c>
      <c r="F28" s="2" t="inlineStr">
        <is>
          <t>5999084947880</t>
        </is>
      </c>
      <c r="G28" s="4" t="inlineStr">
        <is>
          <t>&lt;span style="color:red;"&gt;Centrifugálny ventilátor s parou typu CMF 64 je zabalený do 3 krabíc kvôli jeho veľkým rozmerom.
(CMF 64/A, CMF 64/B, CMF 64/C)
Pri objednávaní dbajte na to, že CMF 64/B môžete objednať iba spolu s CMF 64/A a CMF 64/C.
Prosíme, pri objednávaní vložte do košíka všetky 3 časti výrobku!&lt;/span&gt;</t>
        </is>
      </c>
    </row>
    <row r="29">
      <c r="A29" s="6" t="inlineStr">
        <is>
          <t xml:space="preserve">   Chladenie / Ochladzovač vzduchu</t>
        </is>
      </c>
      <c r="B29" s="6" t="inlineStr">
        <is>
          <t/>
        </is>
      </c>
      <c r="C29" s="6" t="inlineStr">
        <is>
          <t/>
        </is>
      </c>
      <c r="D29" s="6" t="inlineStr">
        <is>
          <t/>
        </is>
      </c>
      <c r="E29" s="6" t="inlineStr">
        <is>
          <t/>
        </is>
      </c>
      <c r="F29" s="6" t="inlineStr">
        <is>
          <t/>
        </is>
      </c>
      <c r="G29" s="6" t="inlineStr">
        <is>
          <t/>
        </is>
      </c>
    </row>
    <row r="30">
      <c r="A30" s="3" t="inlineStr">
        <is>
          <t>LH 300/T</t>
        </is>
      </c>
      <c r="B30" s="2" t="inlineStr">
        <is>
          <t>Odparovacia vložka k ochladzovaču vzduchu LH 300</t>
        </is>
      </c>
      <c r="C30" s="1" t="n">
        <v>4.19</v>
      </c>
      <c r="D30" s="7" t="n">
        <f>HYPERLINK("https://www.somogyi.sk/product/odparovacia-vlozka-k-ochladzovacu-vzduchu-lh-300-lh-300-t-14596","https://www.somogyi.sk/product/odparovacia-vlozka-k-ochladzovacu-vzduchu-lh-300-lh-300-t-14596")</f>
        <v>0.0</v>
      </c>
      <c r="E30" s="7" t="n">
        <f>HYPERLINK("https://www.somogyi.sk/productimages/product_main_images/small/14596.jpg","https://www.somogyi.sk/productimages/product_main_images/small/14596.jpg")</f>
        <v>0.0</v>
      </c>
      <c r="F30" s="2" t="inlineStr">
        <is>
          <t>5999084926380</t>
        </is>
      </c>
      <c r="G30" s="4" t="inlineStr">
        <is>
          <t xml:space="preserve"> • Odparovacia vložka do LH 300</t>
        </is>
      </c>
    </row>
    <row r="31">
      <c r="A31" s="3" t="inlineStr">
        <is>
          <t>LHP 400/T</t>
        </is>
      </c>
      <c r="B31" s="2" t="inlineStr">
        <is>
          <t>Vložka do LHP 400</t>
        </is>
      </c>
      <c r="C31" s="1" t="n">
        <v>4.29</v>
      </c>
      <c r="D31" s="7" t="n">
        <f>HYPERLINK("https://www.somogyi.sk/product/vlozka-do-lhp-400-lhp-400-t-16342","https://www.somogyi.sk/product/vlozka-do-lhp-400-lhp-400-t-16342")</f>
        <v>0.0</v>
      </c>
      <c r="E31" s="7" t="n">
        <f>HYPERLINK("https://www.somogyi.sk/productimages/product_main_images/small/16342.jpg","https://www.somogyi.sk/productimages/product_main_images/small/16342.jpg")</f>
        <v>0.0</v>
      </c>
      <c r="F31" s="2" t="inlineStr">
        <is>
          <t>5999084943745</t>
        </is>
      </c>
      <c r="G31" s="4" t="inlineStr">
        <is>
          <t xml:space="preserve"> • Odparovacia vložka do LHP 400</t>
        </is>
      </c>
    </row>
    <row r="32">
      <c r="A32" s="3" t="inlineStr">
        <is>
          <t>LH 5/T</t>
        </is>
      </c>
      <c r="B32" s="2" t="inlineStr">
        <is>
          <t>Vložka do LH 5</t>
        </is>
      </c>
      <c r="C32" s="1" t="n">
        <v>2.89</v>
      </c>
      <c r="D32" s="7" t="n">
        <f>HYPERLINK("https://www.somogyi.sk/product/vlozka-do-lh-5-lh-5-t-17802","https://www.somogyi.sk/product/vlozka-do-lh-5-lh-5-t-17802")</f>
        <v>0.0</v>
      </c>
      <c r="E32" s="7" t="n">
        <f>HYPERLINK("https://www.somogyi.sk/productimages/product_main_images/small/17802.jpg","https://www.somogyi.sk/productimages/product_main_images/small/17802.jpg")</f>
        <v>0.0</v>
      </c>
      <c r="F32" s="2" t="inlineStr">
        <is>
          <t>5999084958244</t>
        </is>
      </c>
      <c r="G32" s="4" t="inlineStr">
        <is>
          <t xml:space="preserve"> • zvlhčovacia vložka k LH 5</t>
        </is>
      </c>
    </row>
    <row r="33">
      <c r="A33" s="3" t="inlineStr">
        <is>
          <t>LH 5</t>
        </is>
      </c>
      <c r="B33" s="2" t="inlineStr">
        <is>
          <t>Mini ochladzovač vzduchu</t>
        </is>
      </c>
      <c r="C33" s="1" t="n">
        <v>18.99</v>
      </c>
      <c r="D33" s="7" t="n">
        <f>HYPERLINK("https://www.somogyi.sk/product/mini-ochladzovac-vzduchu-lh-5-17801","https://www.somogyi.sk/product/mini-ochladzovac-vzduchu-lh-5-17801")</f>
        <v>0.0</v>
      </c>
      <c r="E33" s="7" t="n">
        <f>HYPERLINK("https://www.somogyi.sk/productimages/product_main_images/small/17801.jpg","https://www.somogyi.sk/productimages/product_main_images/small/17801.jpg")</f>
        <v>0.0</v>
      </c>
      <c r="F33" s="2" t="inlineStr">
        <is>
          <t>5999084958237</t>
        </is>
      </c>
      <c r="G33" s="4" t="inlineStr">
        <is>
          <t xml:space="preserve"> • pohyb lamiel: áno 
 • stupne rýchlosti: 3 
 • nádrž na vodu: 300 ml (s okienkom) 
 • odparovacia vložka: LH 5/T 
 • hlučnosť: 54 dB(A) 
 • napájanie: USB 5V / 5W (USB - micro USB kábel je príslušenstvom) 
 • rozmery: 13,7 x 14,1 x 18 cm</t>
        </is>
      </c>
    </row>
    <row r="34">
      <c r="A34" s="3" t="inlineStr">
        <is>
          <t>LHP 800i</t>
        </is>
      </c>
      <c r="B34" s="2" t="inlineStr">
        <is>
          <t>Ochladzovač vzduchu s diaľkovým ovládačom a ionizátorom, 80 W</t>
        </is>
      </c>
      <c r="C34" s="1" t="n">
        <v>114.9</v>
      </c>
      <c r="D34" s="7" t="n">
        <f>HYPERLINK("https://www.somogyi.sk/product/ochladzovac-vzduchu-s-dialkovym-ovladacom-a-ionizatorom-80-w-lhp-800i-17258","https://www.somogyi.sk/product/ochladzovac-vzduchu-s-dialkovym-ovladacom-a-ionizatorom-80-w-lhp-800i-17258")</f>
        <v>0.0</v>
      </c>
      <c r="E34" s="7" t="n">
        <f>HYPERLINK("https://www.somogyi.sk/productimages/product_main_images/small/17258.jpg","https://www.somogyi.sk/productimages/product_main_images/small/17258.jpg")</f>
        <v>0.0</v>
      </c>
      <c r="F34" s="2" t="inlineStr">
        <is>
          <t>5999084952808</t>
        </is>
      </c>
      <c r="G34" s="4" t="inlineStr">
        <is>
          <t xml:space="preserve"> • pohyb lamiel: áno 
 • stupne rýchlosti: 3 stupne 
 • nádrž na vodu: 3 l 
 • odparovacia vložka: vymeniteľná odparovacia vložka (LHP 800i/T) 
 • hlučnosť: 60 dB(A) 
 • výkon: 80 W 
 • dĺžka napájacieho kábla: 1,35 m 
 • napájanie: 230 V~ / 50 Hz 
 • rozmery: 33,5 x 80,5 x 23,5 cm 
 • hmotnosť: 4,9 kg</t>
        </is>
      </c>
    </row>
    <row r="35">
      <c r="A35" s="3" t="inlineStr">
        <is>
          <t>LHP 800i/T</t>
        </is>
      </c>
      <c r="B35" s="2" t="inlineStr">
        <is>
          <t>Vložka do LHP 800i</t>
        </is>
      </c>
      <c r="C35" s="1" t="n">
        <v>4.99</v>
      </c>
      <c r="D35" s="7" t="n">
        <f>HYPERLINK("https://www.somogyi.sk/product/vlozka-do-lhp-800i-lhp-800i-t-17259","https://www.somogyi.sk/product/vlozka-do-lhp-800i-lhp-800i-t-17259")</f>
        <v>0.0</v>
      </c>
      <c r="E35" s="7" t="n">
        <f>HYPERLINK("https://www.somogyi.sk/productimages/product_main_images/small/17259.jpg","https://www.somogyi.sk/productimages/product_main_images/small/17259.jpg")</f>
        <v>0.0</v>
      </c>
      <c r="F35" s="2" t="inlineStr">
        <is>
          <t>5999084952815</t>
        </is>
      </c>
      <c r="G35" s="4" t="inlineStr">
        <is>
          <t xml:space="preserve"> • Vhodný do ochladzovača vzduchu LHP 800i ktorý distribuuje Somogyi Elektronic.</t>
        </is>
      </c>
    </row>
    <row r="36">
      <c r="A36" s="3" t="inlineStr">
        <is>
          <t>LH 300</t>
        </is>
      </c>
      <c r="B36" s="2" t="inlineStr">
        <is>
          <t>Ochladzovač vzduchu, 80 W</t>
        </is>
      </c>
      <c r="C36" s="1" t="n">
        <v>63.99</v>
      </c>
      <c r="D36" s="7" t="n">
        <f>HYPERLINK("https://www.somogyi.sk/product/ochladzovac-vzduchu-80-w-lh-300-14420","https://www.somogyi.sk/product/ochladzovac-vzduchu-80-w-lh-300-14420")</f>
        <v>0.0</v>
      </c>
      <c r="E36" s="7" t="n">
        <f>HYPERLINK("https://www.somogyi.sk/productimages/product_main_images/small/14420.jpg","https://www.somogyi.sk/productimages/product_main_images/small/14420.jpg")</f>
        <v>0.0</v>
      </c>
      <c r="F36" s="2" t="inlineStr">
        <is>
          <t>5999084924683</t>
        </is>
      </c>
      <c r="G36" s="4" t="inlineStr">
        <is>
          <t xml:space="preserve"> • pohyb lamiel: áno 
 • stupne rýchlosti: 3 
 • nádrž na vodu: 3 l 
 • odparovacia vložka: 1 ks je príslušenstvom (LH 300/T) 
 • hlučnosť: 60 dB(A) 
 • výkon: 80 W 
 • dĺžka napájacieho kábla: 1,5 m 
 • napájanie: 230 V~  / 50 Hz 
 • rozmery: 25 x 58 x 28 cm 
 • hmotnosť: 5,3 kg</t>
        </is>
      </c>
    </row>
    <row r="37">
      <c r="A37" s="3" t="inlineStr">
        <is>
          <t>LHP 400</t>
        </is>
      </c>
      <c r="B37" s="2" t="inlineStr">
        <is>
          <t>Ochladzovač vzduchu s diaľkovým ovládačom, 80 W</t>
        </is>
      </c>
      <c r="C37" s="1" t="n">
        <v>73.99</v>
      </c>
      <c r="D37" s="7" t="n">
        <f>HYPERLINK("https://www.somogyi.sk/product/ochladzovac-vzduchu-s-dialkovym-ovladacom-80-w-lhp-400-16285","https://www.somogyi.sk/product/ochladzovac-vzduchu-s-dialkovym-ovladacom-80-w-lhp-400-16285")</f>
        <v>0.0</v>
      </c>
      <c r="E37" s="7" t="n">
        <f>HYPERLINK("https://www.somogyi.sk/productimages/product_main_images/small/16285.jpg","https://www.somogyi.sk/productimages/product_main_images/small/16285.jpg")</f>
        <v>0.0</v>
      </c>
      <c r="F37" s="2" t="inlineStr">
        <is>
          <t>5999084943172</t>
        </is>
      </c>
      <c r="G37" s="4" t="inlineStr">
        <is>
          <t xml:space="preserve"> • pohyb lamiel: áno 
 • stupne rýchlosti: 3 stupne 
 • nádrž na vodu: 3 l 
 • odparovacia vložka: vymeniteľná odparovacia vložka (LHP 400/T) 
 • hlučnosť: 65 dB(A) 
 • výkon: 80 W 
 • dĺžka napájacieho kábla: 1,45 m 
 • napájanie: 230 V~ / 50 Hz 
 • rozmery: 25 x 58 x 28 cm 
 • hmotnosť: 4,2 kg</t>
        </is>
      </c>
    </row>
    <row r="38">
      <c r="A38" s="6" t="inlineStr">
        <is>
          <t xml:space="preserve">   Chladenie / Stĺpový ventilátor</t>
        </is>
      </c>
      <c r="B38" s="6" t="inlineStr">
        <is>
          <t/>
        </is>
      </c>
      <c r="C38" s="6" t="inlineStr">
        <is>
          <t/>
        </is>
      </c>
      <c r="D38" s="6" t="inlineStr">
        <is>
          <t/>
        </is>
      </c>
      <c r="E38" s="6" t="inlineStr">
        <is>
          <t/>
        </is>
      </c>
      <c r="F38" s="6" t="inlineStr">
        <is>
          <t/>
        </is>
      </c>
      <c r="G38" s="6" t="inlineStr">
        <is>
          <t/>
        </is>
      </c>
    </row>
    <row r="39">
      <c r="A39" s="3" t="inlineStr">
        <is>
          <t>TWF 821</t>
        </is>
      </c>
      <c r="B39" s="2" t="inlineStr">
        <is>
          <t>Stĺpový ventilátor, biela, 82 cm, 40 W</t>
        </is>
      </c>
      <c r="C39" s="1" t="n">
        <v>31.99</v>
      </c>
      <c r="D39" s="7" t="n">
        <f>HYPERLINK("https://www.somogyi.sk/product/stlpovy-ventilator-biela-82-cm-40-w-twf-821-18014","https://www.somogyi.sk/product/stlpovy-ventilator-biela-82-cm-40-w-twf-821-18014")</f>
        <v>0.0</v>
      </c>
      <c r="E39" s="7" t="n">
        <f>HYPERLINK("https://www.somogyi.sk/productimages/product_main_images/small/18014.jpg","https://www.somogyi.sk/productimages/product_main_images/small/18014.jpg")</f>
        <v>0.0</v>
      </c>
      <c r="F39" s="2" t="inlineStr">
        <is>
          <t>5999084960360</t>
        </is>
      </c>
      <c r="G39" s="4" t="inlineStr">
        <is>
          <t xml:space="preserve"> • diaľkový ovládač: nie 
 • časovač vypnutia: nie 
 • stupne rýchlosti: 3 
 • výkon: 40 W 
 • hlučnosť: 53,2 dB(A) 
 • oscilácia: 85° 
 • N/A: F = 25,29 m3/min 
 • N/A: c = 3,49 m/sec 
 • napájanie: 230 V~ / 50 Hz 
 • rozmery: 20,5 x 22 x 82 cm 
 • hmotnosť: 2 kg</t>
        </is>
      </c>
    </row>
    <row r="40">
      <c r="A40" s="3" t="inlineStr">
        <is>
          <t>TWFR 90</t>
        </is>
      </c>
      <c r="B40" s="2" t="inlineStr">
        <is>
          <t>Stĺpový ventilátor, biela, 90 cm, 60 W</t>
        </is>
      </c>
      <c r="C40" s="1" t="n">
        <v>53.99</v>
      </c>
      <c r="D40" s="7" t="n">
        <f>HYPERLINK("https://www.somogyi.sk/product/stlpovy-ventilator-biela-90-cm-60-w-twfr-90-18018","https://www.somogyi.sk/product/stlpovy-ventilator-biela-90-cm-60-w-twfr-90-18018")</f>
        <v>0.0</v>
      </c>
      <c r="E40" s="7" t="n">
        <f>HYPERLINK("https://www.somogyi.sk/productimages/product_main_images/small/18018.jpg","https://www.somogyi.sk/productimages/product_main_images/small/18018.jpg")</f>
        <v>0.0</v>
      </c>
      <c r="F40" s="2" t="inlineStr">
        <is>
          <t>5999084960407</t>
        </is>
      </c>
      <c r="G40" s="4" t="inlineStr">
        <is>
          <t xml:space="preserve"> • diaľkový ovládač: áno 
 • časovač vypnutia: časovač vypnutia 1-8 h 
 • stupne rýchlosti: 3 
 • výkon: 60 W 
 • hlučnosť: 59 dB(A) 
 • oscilácia: áno 
 • N/A: max. prietok vzduchu: F = 25,0 m3 / min 
 • N/A: najvyššia rýchlosť vzduchu: c = 2,61 m/sec 
 • napájanie: 230 V~ / 50 Hz 
 • napájanie diaľkového ovládača: 1 x 3 V (CR2025) gombíková batéria, je príslušenstvom 
 • rozmery: 31 x 90 x 31 cm</t>
        </is>
      </c>
    </row>
    <row r="41">
      <c r="A41" s="3" t="inlineStr">
        <is>
          <t>TWFR 110</t>
        </is>
      </c>
      <c r="B41" s="2" t="inlineStr">
        <is>
          <t>Stĺpový ventilátor, biela, 110 cm, 45 W</t>
        </is>
      </c>
      <c r="C41" s="1" t="n">
        <v>80.99</v>
      </c>
      <c r="D41" s="7" t="n">
        <f>HYPERLINK("https://www.somogyi.sk/product/stlpovy-ventilator-biela-110-cm-45-w-twfr-110-16746","https://www.somogyi.sk/product/stlpovy-ventilator-biela-110-cm-45-w-twfr-110-16746")</f>
        <v>0.0</v>
      </c>
      <c r="E41" s="7" t="n">
        <f>HYPERLINK("https://www.somogyi.sk/productimages/product_main_images/small/16746.jpg","https://www.somogyi.sk/productimages/product_main_images/small/16746.jpg")</f>
        <v>0.0</v>
      </c>
      <c r="F41" s="2" t="inlineStr">
        <is>
          <t>5999084947781</t>
        </is>
      </c>
      <c r="G41" s="4" t="inlineStr">
        <is>
          <t xml:space="preserve"> • diaľkový ovládač: áno 
 • typy prevádzok: 3 režimy: normálny, prirodzenyý, sleep 
 • časovač vypnutia: 1-15 h časovač vypnutia ventilátora 
 • stupne rýchlosti: regulovateľný výkon (3 stupne) 
 • výkon: 45 W 
 • hlučnosť: 62,72 dB(A) 
 • oscilácia: 50° 
 • napájanie: 230 V~  / 50 Hz 
 • napájanie diaľkového ovládača: 2 x 1,5 V (AAA) 
 • rozmery: ∅17 x 112 cm 
 • dĺžka napájacieho kábla: 1,35 m 
 • hmotnosť: 3,8 kg 
 • ďalšie informácie: dotykový panel (biele piktogramy)</t>
        </is>
      </c>
    </row>
    <row r="42">
      <c r="A42" s="3" t="inlineStr">
        <is>
          <t>TWFR 120</t>
        </is>
      </c>
      <c r="B42" s="2" t="inlineStr">
        <is>
          <t>Stĺpový ventilátor, biela, 120 cm, 50 W</t>
        </is>
      </c>
      <c r="C42" s="1" t="n">
        <v>96.99</v>
      </c>
      <c r="D42" s="7" t="n">
        <f>HYPERLINK("https://www.somogyi.sk/product/stlpovy-ventilator-biela-120-cm-50-w-twfr-120-15769","https://www.somogyi.sk/product/stlpovy-ventilator-biela-120-cm-50-w-twfr-120-15769")</f>
        <v>0.0</v>
      </c>
      <c r="E42" s="7" t="n">
        <f>HYPERLINK("https://www.somogyi.sk/productimages/product_main_images/small/15769.jpg","https://www.somogyi.sk/productimages/product_main_images/small/15769.jpg")</f>
        <v>0.0</v>
      </c>
      <c r="F42" s="2" t="inlineStr">
        <is>
          <t>5999084938031</t>
        </is>
      </c>
      <c r="G42" s="4" t="inlineStr">
        <is>
          <t xml:space="preserve"> • diaľkový ovládač: áno 
 • typy prevádzok: normálny / prirodzený / sleep 
 • časovač vypnutia: 1 - 12 h 
 • stupne rýchlosti: 3 
 • výkon: 50 W 
 • hlučnosť: 50 dB(A) 
 • oscilácia: 75° 
 • napájanie: 230 V~ 
 • napájanie diaľkového ovládača: CR2025 (je príslušenstvom) 
 • rozmery: ∅34 x 120 cm 
 • dĺžka napájacieho kábla: 1,4 m 
 • hmotnosť: 3,6 kg 
 • ďalšie informácie: dotykový panel, modrý displej</t>
        </is>
      </c>
    </row>
    <row r="43">
      <c r="A43" s="3" t="inlineStr">
        <is>
          <t>TWFR 100</t>
        </is>
      </c>
      <c r="B43" s="2" t="inlineStr">
        <is>
          <t>Stĺpový ventilátor</t>
        </is>
      </c>
      <c r="C43" s="1" t="n">
        <v>58.99</v>
      </c>
      <c r="D43" s="7" t="n">
        <f>HYPERLINK("https://www.somogyi.sk/product/stlpovy-ventilator-twfr-100-17243","https://www.somogyi.sk/product/stlpovy-ventilator-twfr-100-17243")</f>
        <v>0.0</v>
      </c>
      <c r="E43" s="7" t="n">
        <f>HYPERLINK("https://www.somogyi.sk/productimages/product_main_images/small/17243.jpg","https://www.somogyi.sk/productimages/product_main_images/small/17243.jpg")</f>
        <v>0.0</v>
      </c>
      <c r="F43" s="2" t="inlineStr">
        <is>
          <t>5999084952679</t>
        </is>
      </c>
      <c r="G43" s="4" t="inlineStr">
        <is>
          <t xml:space="preserve"> • diaľkový ovládač: áno 
 • typy prevádzok: 3 režimy: normálny, prirodzený vietor a sleep 
 • časovač vypnutia: 1 - 15 h 
 • stupne rýchlosti: 3 stupne rýchlosti a ECO režim 
 • výkon: 45 W 
 • hlučnosť: 60,89 dB(A) 
 • 85° 
 • napájanie: 230 V~ / 50 Hz 
 • rozmery: ∅30 x 101,3 cm 
 • dĺžka napájacieho kábla: 1,7 m 
 • hmotnosť: 3,7 kg</t>
        </is>
      </c>
    </row>
    <row r="44">
      <c r="A44" s="3" t="inlineStr">
        <is>
          <t>TWFR 74</t>
        </is>
      </c>
      <c r="B44" s="2" t="inlineStr">
        <is>
          <t>Stĺpový ventilátor s diaľ. ovládačom, biela, 74 cm, 50 W</t>
        </is>
      </c>
      <c r="C44" s="1" t="n">
        <v>39.99</v>
      </c>
      <c r="D44" s="7" t="n">
        <f>HYPERLINK("https://www.somogyi.sk/product/stlpovy-ventilator-s-dial-ovladacom-biela-74-cm-50-w-twfr-74-15789","https://www.somogyi.sk/product/stlpovy-ventilator-s-dial-ovladacom-biela-74-cm-50-w-twfr-74-15789")</f>
        <v>0.0</v>
      </c>
      <c r="E44" s="7" t="n">
        <f>HYPERLINK("https://www.somogyi.sk/productimages/product_main_images/small/15789.jpg","https://www.somogyi.sk/productimages/product_main_images/small/15789.jpg")</f>
        <v>0.0</v>
      </c>
      <c r="F44" s="2" t="inlineStr">
        <is>
          <t>5999084938239</t>
        </is>
      </c>
      <c r="G44" s="4" t="inlineStr">
        <is>
          <t xml:space="preserve"> • diaľkový ovládač: áno 
 • typy prevádzok: normálny / prirodzený / sleep 
 • časovač vypnutia: 0,5 - 7,5 h 
 • stupne rýchlosti: 3 
 • výkon: 40,88 W 
 • hlučnosť: 53,6 dB(A) 
 • oscilácia: 75° 
 • napájanie: 230 V~ 
 • napájanie diaľkového ovládača: CR2025 (je príslušenstvom) 
 • rozmery: Ø22 x 74 cm 
 • dĺžka napájacieho kábla: ~150 cm 
 • ďalšie informácie: LED kontrolky</t>
        </is>
      </c>
    </row>
    <row r="45">
      <c r="A45" s="6" t="inlineStr">
        <is>
          <t xml:space="preserve">   Chladenie / Stojanový ventilátor</t>
        </is>
      </c>
      <c r="B45" s="6" t="inlineStr">
        <is>
          <t/>
        </is>
      </c>
      <c r="C45" s="6" t="inlineStr">
        <is>
          <t/>
        </is>
      </c>
      <c r="D45" s="6" t="inlineStr">
        <is>
          <t/>
        </is>
      </c>
      <c r="E45" s="6" t="inlineStr">
        <is>
          <t/>
        </is>
      </c>
      <c r="F45" s="6" t="inlineStr">
        <is>
          <t/>
        </is>
      </c>
      <c r="G45" s="6" t="inlineStr">
        <is>
          <t/>
        </is>
      </c>
    </row>
    <row r="46">
      <c r="A46" s="3" t="inlineStr">
        <is>
          <t>SFR88DC</t>
        </is>
      </c>
      <c r="B46" s="2" t="inlineStr">
        <is>
          <t>Stojanový ventilátor, DC motor, 18 cm, 50 W</t>
        </is>
      </c>
      <c r="C46" s="1" t="n">
        <v>79.99</v>
      </c>
      <c r="D46" s="7" t="n">
        <f>HYPERLINK("https://www.somogyi.sk/product/stojanovy-ventilator-dc-motor-18-cm-50-w-sfr88dc-18378","https://www.somogyi.sk/product/stojanovy-ventilator-dc-motor-18-cm-50-w-sfr88dc-18378")</f>
        <v>0.0</v>
      </c>
      <c r="E46" s="7" t="n">
        <f>HYPERLINK("https://www.somogyi.sk/productimages/product_main_images/small/18378.jpg","https://www.somogyi.sk/productimages/product_main_images/small/18378.jpg")</f>
        <v>0.0</v>
      </c>
      <c r="F46" s="2" t="inlineStr">
        <is>
          <t>5999084963965</t>
        </is>
      </c>
      <c r="G46" s="4" t="inlineStr">
        <is>
          <t xml:space="preserve"> • menovitý priemer vrtule: 18 cm 
 • ovládanie dotykovými tlačidlami alebo diaľkovým ovládačom 
 • DC motor, 12 stupňov rýchlosti 
 • možno zložiť do dvoch rôznych výšok (970 mm, 695 mm) 
 • režimy: normálny, prirodzený vietor, nočný 
 • nastaviteľné uhly sklonu hlavy: 30°, 60°, 90° 
 • nastaviteľná vodorovná a/alebo zvislá oscilácia 
 • biely LED displej, 3 minútové automatické vypnutie 
 • časovač za- alebo vypnutia: 1-15 h 
 • hlučnosť LWA=59,1 dB(A) 
 • napájanie diaľkového ovládača: 2 x 1,5 V (AAA) batéria, nie je príslušenstvom 
 • napájanie: 220-240 V~ 50-60 Hz 50 W</t>
        </is>
      </c>
    </row>
    <row r="47">
      <c r="A47" s="3" t="inlineStr">
        <is>
          <t>SF 40 WH/M</t>
        </is>
      </c>
      <c r="B47" s="2" t="inlineStr">
        <is>
          <t>Stojanový ventilátor</t>
        </is>
      </c>
      <c r="C47" s="1" t="n">
        <v>31.99</v>
      </c>
      <c r="D47" s="7" t="n">
        <f>HYPERLINK("https://www.somogyi.sk/product/stojanovy-ventilator-sf-40-wh-m-17244","https://www.somogyi.sk/product/stojanovy-ventilator-sf-40-wh-m-17244")</f>
        <v>0.0</v>
      </c>
      <c r="E47" s="7" t="n">
        <f>HYPERLINK("https://www.somogyi.sk/productimages/product_main_images/small/17244.jpg","https://www.somogyi.sk/productimages/product_main_images/small/17244.jpg")</f>
        <v>0.0</v>
      </c>
      <c r="F47" s="2" t="inlineStr">
        <is>
          <t>5999084952686</t>
        </is>
      </c>
      <c r="G47" s="4" t="inlineStr">
        <is>
          <t xml:space="preserve"> • priemer vrtule: 40 cm 
 • vrtule: plast 
 • nastaviteľná uhol sklonu: 15° 
 • nastaviteľná výška: 94-124 cm 
 • diaľkový ovládač: nie 
 • oscilácia: nastaviteľná oscilácia (80°) 
 • stupne rýchlosti: 3 
 • výkon: 40 W 
 • hlučnosť: 56 dB(A) 
 • napájanie: 230 V~ / 50 Hz 
 • dĺžka napájacieho kábla: ~ 1,5 m 
 • rozmery: 70 x 70 x 124 cm 
 • hmotnosť: 2,9 kg</t>
        </is>
      </c>
    </row>
    <row r="48">
      <c r="A48" s="3" t="inlineStr">
        <is>
          <t>SF 43 BK</t>
        </is>
      </c>
      <c r="B48" s="2" t="inlineStr">
        <is>
          <t>Stojanový ventilátor, 40 cm, 45 W, čierna</t>
        </is>
      </c>
      <c r="C48" s="1" t="n">
        <v>27.99</v>
      </c>
      <c r="D48" s="7" t="n">
        <f>HYPERLINK("https://www.somogyi.sk/product/stojanovy-ventilator-40-cm-45-w-cierna-sf-43-bk-18022","https://www.somogyi.sk/product/stojanovy-ventilator-40-cm-45-w-cierna-sf-43-bk-18022")</f>
        <v>0.0</v>
      </c>
      <c r="E48" s="7" t="n">
        <f>HYPERLINK("https://www.somogyi.sk/productimages/product_main_images/small/18022.jpg","https://www.somogyi.sk/productimages/product_main_images/small/18022.jpg")</f>
        <v>0.0</v>
      </c>
      <c r="F48" s="2" t="inlineStr">
        <is>
          <t>5999084960445</t>
        </is>
      </c>
      <c r="G48" s="4" t="inlineStr">
        <is>
          <t xml:space="preserve"> • priemer vrtule: 40 cm 
 • vrtule: plast 
 • nastaviteľná uhol sklonu: áno 
 • nastaviteľná výška: 100 – 120 cm 
 • oscilácia: áno 
 • stupne rýchlosti: 3 
 • výkon: 45 W 
 • hlučnosť: LWA=51,0 dB(A) 
 • N/A: max. prietok vzduchu: F = 40,56 m3 / min 
 • N/A: najvyššia rýchlosť vzduchu: c = 2,4 m/sec 
 • napájanie: 220-240 V~ / 50 Hz 
 • rozmery: 60 x 60 x 120 cm 
 • farba: čierna</t>
        </is>
      </c>
    </row>
    <row r="49">
      <c r="A49" s="3" t="inlineStr">
        <is>
          <t>SFP 40</t>
        </is>
      </c>
      <c r="B49" s="2" t="inlineStr">
        <is>
          <t>Stojanový ventilátor s diaľkovým ovládačom, 40cm, 45W</t>
        </is>
      </c>
      <c r="C49" s="1" t="n">
        <v>47.99</v>
      </c>
      <c r="D49" s="7" t="n">
        <f>HYPERLINK("https://www.somogyi.sk/product/stojanovy-ventilator-s-dialkovym-ovladacom-40cm-45w-sfp-40-9308","https://www.somogyi.sk/product/stojanovy-ventilator-s-dialkovym-ovladacom-40cm-45w-sfp-40-9308")</f>
        <v>0.0</v>
      </c>
      <c r="E49" s="7" t="n">
        <f>HYPERLINK("https://www.somogyi.sk/productimages/product_main_images/small/09308.jpg","https://www.somogyi.sk/productimages/product_main_images/small/09308.jpg")</f>
        <v>0.0</v>
      </c>
      <c r="F49" s="2" t="inlineStr">
        <is>
          <t>5998312781210</t>
        </is>
      </c>
      <c r="G49" s="4" t="inlineStr">
        <is>
          <t xml:space="preserve"> • priemer vrtule: 40 cm 
 • vrtule: plastové 
 • nastaviteľná uhol sklonu: áno 
 • nastaviteľná výška: 110 - 130 cm 
 • funkcia vietor: 2 stupne 
 • diaľkový ovládač: áno 
 • oscilácia: 90° 
 • časovač vypnutia: áno 
 • stupne rýchlosti: 3 
 • výkon: 45 W 
 • hlučnosť: 70 dB(A) 
 • napájanie: 230 V~  / 50 Hz 
 • napájanie diaľkového ovládača: 2 x AAA (nie je príslušenstvom) 
 • dĺžka napájacieho kábla: 1,5 m 
 • rozmery: 40 x 130 cm 
 • hmotnosť: 5,5 kg</t>
        </is>
      </c>
    </row>
    <row r="50">
      <c r="A50" s="3" t="inlineStr">
        <is>
          <t>SF45</t>
        </is>
      </c>
      <c r="B50" s="2" t="inlineStr">
        <is>
          <t>Stojanový kovový ventilátor, 45 cm</t>
        </is>
      </c>
      <c r="C50" s="1" t="n">
        <v>79.99</v>
      </c>
      <c r="D50" s="7" t="n">
        <f>HYPERLINK("https://www.somogyi.sk/product/stojanovy-kovovy-ventilator-45-cm-sf45-18379","https://www.somogyi.sk/product/stojanovy-kovovy-ventilator-45-cm-sf45-18379")</f>
        <v>0.0</v>
      </c>
      <c r="E50" s="7" t="n">
        <f>HYPERLINK("https://www.somogyi.sk/productimages/product_main_images/small/18379.jpg","https://www.somogyi.sk/productimages/product_main_images/small/18379.jpg")</f>
        <v>0.0</v>
      </c>
      <c r="F50" s="2" t="inlineStr">
        <is>
          <t>5999084963972</t>
        </is>
      </c>
      <c r="G50" s="4" t="inlineStr">
        <is>
          <t xml:space="preserve"> • menovitý priemer vrtule: 45 cm 
 • 4 lopatky ventilátora 
 • 3 stupne rýchlosti, zapínateľná oscilácia 
 • matný čierny kovový ventilátor 
 • 3 skladacie nohy s dreveným vzorom 
 • mechanické ovládanie 
 • nastaviteľná výška (114-134 cm) a uhol sklonu hlavy 
 • napájanie: 220-240 V~ 50 Hz 60 W</t>
        </is>
      </c>
    </row>
    <row r="51">
      <c r="A51" s="3" t="inlineStr">
        <is>
          <t>SFT40R</t>
        </is>
      </c>
      <c r="B51" s="2" t="inlineStr">
        <is>
          <t>Stojanový ventilátor 3in1, s diaľ. ovládačom, 40 cm, 60 W</t>
        </is>
      </c>
      <c r="C51" s="1" t="n">
        <v>65.99</v>
      </c>
      <c r="D51" s="7" t="n">
        <f>HYPERLINK("https://www.somogyi.sk/product/stojanovy-ventilator-3in1-s-dial-ovladacom-40-cm-60-w-sft40r-18403","https://www.somogyi.sk/product/stojanovy-ventilator-3in1-s-dial-ovladacom-40-cm-60-w-sft40r-18403")</f>
        <v>0.0</v>
      </c>
      <c r="E51" s="7" t="n">
        <f>HYPERLINK("https://www.somogyi.sk/productimages/product_main_images/small/18403.jpg","https://www.somogyi.sk/productimages/product_main_images/small/18403.jpg")</f>
        <v>0.0</v>
      </c>
      <c r="F51" s="2" t="inlineStr">
        <is>
          <t>5999084964214</t>
        </is>
      </c>
      <c r="G51" s="4" t="inlineStr">
        <is>
          <t xml:space="preserve"> • menovitý priemer vrtule: 40 cm 
 • ovládanie dotykovými tlačidlami a diaľkovým ovládačom 
 • možno zložiť do troch rôznych výšok (78/105/132 cm) 
 • 5 priesvitných lopatiek ventilátora 
 • nastaviteľný uhol sklonu hlavy 
 • biely LED displej, vypínateľný 
 • 4 stupne rýchlosti + nočná funkcia 
 • zapínateľná oscilácia 
 • časovač vypnutia:  1-9 h 
 • hlučnosť: LWA=62 dB(A) 
 • napájanie diaľkového ovládača: 1 x 3 V (CR2025) gombíková batéria, je príslušenstvom 
 • napájanie: 220-240 V~ 50-60 Hz 60 W</t>
        </is>
      </c>
    </row>
    <row r="52">
      <c r="A52" s="3" t="inlineStr">
        <is>
          <t>SFP 42</t>
        </is>
      </c>
      <c r="B52" s="2" t="inlineStr">
        <is>
          <t>Stojanový ventilátor s diaľkovým ovládačom, 40 cm, 40 W</t>
        </is>
      </c>
      <c r="C52" s="1" t="n">
        <v>41.99</v>
      </c>
      <c r="D52" s="7" t="n">
        <f>HYPERLINK("https://www.somogyi.sk/product/stojanovy-ventilator-s-dialkovym-ovladacom-40-cm-40-w-sfp-42-18017","https://www.somogyi.sk/product/stojanovy-ventilator-s-dialkovym-ovladacom-40-cm-40-w-sfp-42-18017")</f>
        <v>0.0</v>
      </c>
      <c r="E52" s="7" t="n">
        <f>HYPERLINK("https://www.somogyi.sk/productimages/product_main_images/small/18017.jpg","https://www.somogyi.sk/productimages/product_main_images/small/18017.jpg")</f>
        <v>0.0</v>
      </c>
      <c r="F52" s="2" t="inlineStr">
        <is>
          <t>5999084960391</t>
        </is>
      </c>
      <c r="G52" s="4" t="inlineStr">
        <is>
          <t xml:space="preserve"> • priemer vrtule: 40 cm 
 • vrtule: plast 
 • nastaviteľná uhol sklonu: áno 
 • nastaviteľná výška: 109 cm – 129 cm 
 • diaľkový ovládač: áno 
 •  
 • stupne rýchlosti: 3 
 • výkon: 40 W 
 • hlučnosť: LWA=53,6 dB(A) 
 • N/A: max. prietok vzduchu: F = 56,4 m3 / min 
 • N/A: najväčšia rýchlosť vzduchu: c = 2,5 m/sec 
 • napájanie: 220-240 V~ / 50 Hz 
 • napájanie diaľkového ovládača: 1 x 3 V (CR2025) gombíková batéria, je príslušenstvom 
 • rozmery: Ø42 x 129 cm 
 • farba: biela</t>
        </is>
      </c>
    </row>
    <row r="53">
      <c r="A53" s="3" t="inlineStr">
        <is>
          <t>SFR 40 3D</t>
        </is>
      </c>
      <c r="B53" s="2" t="inlineStr">
        <is>
          <t>Stojanový ventilátor s 3D osciláciou</t>
        </is>
      </c>
      <c r="C53" s="1" t="n">
        <v>109.9</v>
      </c>
      <c r="D53" s="7" t="n">
        <f>HYPERLINK("https://www.somogyi.sk/product/stojanovy-ventilator-s-3d-oscilaciou-sfr-40-3d-16745","https://www.somogyi.sk/product/stojanovy-ventilator-s-3d-oscilaciou-sfr-40-3d-16745")</f>
        <v>0.0</v>
      </c>
      <c r="E53" s="7" t="n">
        <f>HYPERLINK("https://www.somogyi.sk/productimages/product_main_images/small/16745.jpg","https://www.somogyi.sk/productimages/product_main_images/small/16745.jpg")</f>
        <v>0.0</v>
      </c>
      <c r="F53" s="2" t="inlineStr">
        <is>
          <t>5999084947774</t>
        </is>
      </c>
      <c r="G53" s="4" t="inlineStr">
        <is>
          <t xml:space="preserve"> • priemer vrtule: 40 cm 
 • vrtule: transparentný plast 
 • nastaviteľná uhol sklonu: áno 
 • nastaviteľná výška: 115 - 130 cm 
 • funkcia vietor: 2 stupne (prirodzený, nočný režim) 
 • diaľkový ovládač: áno 
 • časovač vypnutia: 12 h časovač vypnutia 
 • stupne rýchlosti: regulovateľný výkon (3 stupne), funkcie vietora 
 • výkon: 60 W 
 • hlučnosť: 61,27 dB(A) 
 • napájanie: 230 V~  / 50 Hz 
 • napájanie diaľkového ovládača: 2 x AAA batéria (nie je príslušenstvom) 
 • dĺžka napájacieho kábla: 1,45 m 
 • rozmery: ∅45 x 44 x 130 cm 
 • hmotnosť: 6,8 kg</t>
        </is>
      </c>
    </row>
    <row r="54">
      <c r="A54" s="3" t="inlineStr">
        <is>
          <t>SFS 40</t>
        </is>
      </c>
      <c r="B54" s="2" t="inlineStr">
        <is>
          <t>Kovový stojanový ventilátor, 30 cm, 50 W, max. 1,2 m</t>
        </is>
      </c>
      <c r="C54" s="1" t="n">
        <v>71.99</v>
      </c>
      <c r="D54" s="7" t="n">
        <f>HYPERLINK("https://www.somogyi.sk/product/kovovy-stojanovy-ventilator-30-cm-50-w-max-1-2-m-sfs-40-15139","https://www.somogyi.sk/product/kovovy-stojanovy-ventilator-30-cm-50-w-max-1-2-m-sfs-40-15139")</f>
        <v>0.0</v>
      </c>
      <c r="E54" s="7" t="n">
        <f>HYPERLINK("https://www.somogyi.sk/productimages/product_main_images/small/15139.jpg","https://www.somogyi.sk/productimages/product_main_images/small/15139.jpg")</f>
        <v>0.0</v>
      </c>
      <c r="F54" s="2" t="inlineStr">
        <is>
          <t>5999084931735</t>
        </is>
      </c>
      <c r="G54" s="4" t="inlineStr">
        <is>
          <t xml:space="preserve"> • priemer vrtule: 40 cm 
 • vrtule: kov 
 • nastaviteľná uhol sklonu: +/- 15° 
 • nastaviteľná výška: 90 - 120 cm 
 • oscilácia: 85° 
 • stupne rýchlosti: 3 
 • výkon: 50 W 
 • hlučnosť: 63 dB(A) 
 • napájanie: 230 V~  / 50 Hz 
 • dĺžka napájacieho kábla: 1,6 m 
 • rozmery: 40 x 120 cm</t>
        </is>
      </c>
    </row>
    <row r="55">
      <c r="A55" s="3" t="inlineStr">
        <is>
          <t>SFR 20</t>
        </is>
      </c>
      <c r="B55" s="2" t="inlineStr">
        <is>
          <t>Stojanový ventilátor</t>
        </is>
      </c>
      <c r="C55" s="1" t="n">
        <v>63.99</v>
      </c>
      <c r="D55" s="7" t="n">
        <f>HYPERLINK("https://www.somogyi.sk/product/stojanovy-ventilator-sfr-20-17239","https://www.somogyi.sk/product/stojanovy-ventilator-sfr-20-17239")</f>
        <v>0.0</v>
      </c>
      <c r="E55" s="7" t="n">
        <f>HYPERLINK("https://www.somogyi.sk/productimages/product_main_images/small/17239.jpg","https://www.somogyi.sk/productimages/product_main_images/small/17239.jpg")</f>
        <v>0.0</v>
      </c>
      <c r="F55" s="2" t="inlineStr">
        <is>
          <t>5999084952631</t>
        </is>
      </c>
      <c r="G55" s="4" t="inlineStr">
        <is>
          <t xml:space="preserve"> • priemer vrtule: 20 cm 
 • vrtule: plast 
 • nastaviteľná uhol sklonu: hlavová časť ventilátora sa dá manuálne nastaviť z horizontálneho do vertikálneho smeru 
 • funkcia vietor: 3 stupne ventilátora (normálny, prirodzený vietor, nočný) 
 • diaľkový ovládač: áno 
 • oscilácia: 70° oscilácia doprava / doľava 
 • časovač vypnutia: časovač vypnutia 1-15 h 
 • stupne rýchlosti: 3 
 • výkon: 50 W 
 • napájanie: 230 V~ / 50 Hz 
 • napájanie diaľkového ovládača: 1x3 V (CR2025) gombíková batéria, je príslušenstvom 
 • dĺžka napájacieho kábla: 1,6 m 
 • rozmery: ∅32 x 88 cm 
 • hmotnosť: 2,6 kg</t>
        </is>
      </c>
    </row>
    <row r="56">
      <c r="A56" s="3" t="inlineStr">
        <is>
          <t>SFI 45</t>
        </is>
      </c>
      <c r="B56" s="2" t="inlineStr">
        <is>
          <t>Stojanový kovový ventilátor, 45 cm, 100W</t>
        </is>
      </c>
      <c r="C56" s="1" t="n">
        <v>65.99</v>
      </c>
      <c r="D56" s="7" t="n">
        <f>HYPERLINK("https://www.somogyi.sk/product/stojanovy-kovovy-ventilator-45-cm-100w-sfi-45-13339","https://www.somogyi.sk/product/stojanovy-kovovy-ventilator-45-cm-100w-sfi-45-13339")</f>
        <v>0.0</v>
      </c>
      <c r="E56" s="7" t="n">
        <f>HYPERLINK("https://www.somogyi.sk/productimages/product_main_images/small/13339.jpg","https://www.somogyi.sk/productimages/product_main_images/small/13339.jpg")</f>
        <v>0.0</v>
      </c>
      <c r="F56" s="2" t="inlineStr">
        <is>
          <t>5999084914257</t>
        </is>
      </c>
      <c r="G56" s="4" t="inlineStr">
        <is>
          <t xml:space="preserve"> • priemer vrtule: 45 cm 
 • vrtule: kovové 
 • nastaviteľná uhol sklonu: 90° 
 • nastaviteľná výška: 108 - 143 cm 
 • funkcia vietor: nie 
 • diaľkový ovládač: nie 
 • oscilácia: nie 
 • časovač vypnutia: nie 
 • stupne rýchlosti: 3 
 • výkon: 100 W 
 • hlučnosť: 63 dB(A) 
 • napájanie: 230 V~  / 50 Hz 
 • dĺžka napájacieho kábla: 1,6 m 
 • rozmery: 56 x 143 cm 
 • hmotnosť: 9,6 kg</t>
        </is>
      </c>
    </row>
    <row r="57">
      <c r="A57" s="6" t="inlineStr">
        <is>
          <t xml:space="preserve">   Chladenie / Stolný ventilátor</t>
        </is>
      </c>
      <c r="B57" s="6" t="inlineStr">
        <is>
          <t/>
        </is>
      </c>
      <c r="C57" s="6" t="inlineStr">
        <is>
          <t/>
        </is>
      </c>
      <c r="D57" s="6" t="inlineStr">
        <is>
          <t/>
        </is>
      </c>
      <c r="E57" s="6" t="inlineStr">
        <is>
          <t/>
        </is>
      </c>
      <c r="F57" s="6" t="inlineStr">
        <is>
          <t/>
        </is>
      </c>
      <c r="G57" s="6" t="inlineStr">
        <is>
          <t/>
        </is>
      </c>
    </row>
    <row r="58">
      <c r="A58" s="3" t="inlineStr">
        <is>
          <t>HF 9/WH</t>
        </is>
      </c>
      <c r="B58" s="2" t="inlineStr">
        <is>
          <t>Ručný, nabíjateľný ventilátor, 9 cm, biela farba</t>
        </is>
      </c>
      <c r="C58" s="1" t="n">
        <v>9.29</v>
      </c>
      <c r="D58" s="7" t="n">
        <f>HYPERLINK("https://www.somogyi.sk/product/rucny-nabijatelny-ventilator-9-cm-biela-farba-hf-9-wh-16387","https://www.somogyi.sk/product/rucny-nabijatelny-ventilator-9-cm-biela-farba-hf-9-wh-16387")</f>
        <v>0.0</v>
      </c>
      <c r="E58" s="7" t="n">
        <f>HYPERLINK("https://www.somogyi.sk/productimages/product_main_images/small/16387.jpg","https://www.somogyi.sk/productimages/product_main_images/small/16387.jpg")</f>
        <v>0.0</v>
      </c>
      <c r="F58" s="2" t="inlineStr">
        <is>
          <t>5999084944193</t>
        </is>
      </c>
      <c r="G58" s="4" t="inlineStr">
        <is>
          <t xml:space="preserve"> • priemer vrtule: 9 cm 
 • vrtule: plast 
 • stupne rýchlosti: 3 
 • výkon: 4 W 
 • doba prevádzky / nabíjania: 1,5-5 h / 3-5 h 
 • napájanie: 3,7 V / 1200 mA akumulátor (Li-ion 18650) 
 • hlučnosť: 56 dB(A) 
 • rozmery: 105 x 220 x 65 mm 
 • dĺžka napájacieho kábla: micro USB "B" nabíjací kábel, 70 cm 
 • ďalšie informácie: stolný držiak je príslušenstvom</t>
        </is>
      </c>
    </row>
    <row r="59">
      <c r="A59" s="3" t="inlineStr">
        <is>
          <t>TF 10 USB/WH</t>
        </is>
      </c>
      <c r="B59" s="2" t="inlineStr">
        <is>
          <t>Stolný USB ventilátor, 10 cm, biela</t>
        </is>
      </c>
      <c r="C59" s="1" t="n">
        <v>5.59</v>
      </c>
      <c r="D59" s="7" t="n">
        <f>HYPERLINK("https://www.somogyi.sk/product/stolny-usb-ventilator-10-cm-biela-tf-10-usb-wh-16304","https://www.somogyi.sk/product/stolny-usb-ventilator-10-cm-biela-tf-10-usb-wh-16304")</f>
        <v>0.0</v>
      </c>
      <c r="E59" s="7" t="n">
        <f>HYPERLINK("https://www.somogyi.sk/productimages/product_main_images/small/16304.jpg","https://www.somogyi.sk/productimages/product_main_images/small/16304.jpg")</f>
        <v>0.0</v>
      </c>
      <c r="F59" s="2" t="inlineStr">
        <is>
          <t>5999084943363</t>
        </is>
      </c>
      <c r="G59" s="4" t="inlineStr">
        <is>
          <t xml:space="preserve"> • priemer vrtule: 10 cm 
 • vrtule: plast 
 • nastaviteľná uhol sklonu: áno 
 • stupne rýchlosti: 1 
 • výkon: 2,5 W 
 • napájanie: USB A prípojka (5 V / 500 mA) 
 • hlučnosť: 48 dB(A) 
 • rozmery: 14,5 x 15 x 9,5 cm 
 • ďalšie informácie: odporúčaný adaptér SA 1100USB (nie je príslušenstvom)</t>
        </is>
      </c>
    </row>
    <row r="60">
      <c r="A60" s="3" t="inlineStr">
        <is>
          <t>TF 23 TURBO</t>
        </is>
      </c>
      <c r="B60" s="2" t="inlineStr">
        <is>
          <t>Stolný / nástenný ventilátor, 23 cm, biela</t>
        </is>
      </c>
      <c r="C60" s="1" t="n">
        <v>28.99</v>
      </c>
      <c r="D60" s="7" t="n">
        <f>HYPERLINK("https://www.somogyi.sk/product/stolny-nastenny-ventilator-23-cm-biela-tf-23-turbo-15831","https://www.somogyi.sk/product/stolny-nastenny-ventilator-23-cm-biela-tf-23-turbo-15831")</f>
        <v>0.0</v>
      </c>
      <c r="E60" s="7" t="n">
        <f>HYPERLINK("https://www.somogyi.sk/productimages/product_main_images/small/15831.jpg","https://www.somogyi.sk/productimages/product_main_images/small/15831.jpg")</f>
        <v>0.0</v>
      </c>
      <c r="F60" s="2" t="inlineStr">
        <is>
          <t>5999084938659</t>
        </is>
      </c>
      <c r="G60" s="4" t="inlineStr">
        <is>
          <t xml:space="preserve"> • priemer vrtule: 23 cm 
 • vrtule: plast 
 • nastaviteľná uhol sklonu: 90° v 5 stupňoch 
 • stupne rýchlosti: 3 
 • výkon: 50 W 
 • napájanie: 230 V~ 
 • hlučnosť: 55,65 dB(A) 
 • rozmery: 26 x 28 x 17 cm 
 • dĺžka napájacieho kábla: 1,3 m 
 • ďalšie informácie: 2 x väčšia rýchlosť prúdenia vzduchu v porovnaní s ventilátorom TF 23 s rovnakým priemerom vrtule, ktorý distribuuje Somogyi Elektronic Kft.</t>
        </is>
      </c>
    </row>
    <row r="61">
      <c r="A61" s="3" t="inlineStr">
        <is>
          <t>TFS 25</t>
        </is>
      </c>
      <c r="B61" s="2" t="inlineStr">
        <is>
          <t>Kovový stolný ventilátor, 25 cm, 30 W</t>
        </is>
      </c>
      <c r="C61" s="1" t="n">
        <v>36.99</v>
      </c>
      <c r="D61" s="7" t="n">
        <f>HYPERLINK("https://www.somogyi.sk/product/kovovy-stolny-ventilator-25-cm-30-w-tfs-25-18023","https://www.somogyi.sk/product/kovovy-stolny-ventilator-25-cm-30-w-tfs-25-18023")</f>
        <v>0.0</v>
      </c>
      <c r="E61" s="7" t="n">
        <f>HYPERLINK("https://www.somogyi.sk/productimages/product_main_images/small/18023.jpg","https://www.somogyi.sk/productimages/product_main_images/small/18023.jpg")</f>
        <v>0.0</v>
      </c>
      <c r="F61" s="2" t="inlineStr">
        <is>
          <t>5999084960452</t>
        </is>
      </c>
      <c r="G61" s="4" t="inlineStr">
        <is>
          <t xml:space="preserve"> • priemer vrtule: 25 cm 
 • vrtule: kovová 
 • nastaviteľná uhol sklonu: áno 
 • oscilácia: zapínateľná oscilácia, 70° 
 • stupne rýchlosti: 3 
 • výkon: 30 W 
 • napájanie: 230 V~ / 50 Hz 
 • hlučnosť: LWA= 54,72 dB(A) 
 • N/A: max. prietok vzduchu: F = 22,11 m3 / min 
 • N/A: najvyššia rýchlosť vzduchu: c = 1,99 m/sec 
 • rozmery: Ø29 x 39 cm</t>
        </is>
      </c>
    </row>
    <row r="62">
      <c r="A62" s="3" t="inlineStr">
        <is>
          <t>TF 311</t>
        </is>
      </c>
      <c r="B62" s="2" t="inlineStr">
        <is>
          <t>Stolný ventilátor, 30 cm, 40 W, biela</t>
        </is>
      </c>
      <c r="C62" s="1" t="n">
        <v>23.99</v>
      </c>
      <c r="D62" s="7" t="n">
        <f>HYPERLINK("https://www.somogyi.sk/product/stolny-ventilator-30-cm-40-w-biela-tf-311-18013","https://www.somogyi.sk/product/stolny-ventilator-30-cm-40-w-biela-tf-311-18013")</f>
        <v>0.0</v>
      </c>
      <c r="E62" s="7" t="n">
        <f>HYPERLINK("https://www.somogyi.sk/productimages/product_main_images/small/18013.jpg","https://www.somogyi.sk/productimages/product_main_images/small/18013.jpg")</f>
        <v>0.0</v>
      </c>
      <c r="F62" s="2" t="inlineStr">
        <is>
          <t>5999084960353</t>
        </is>
      </c>
      <c r="G62" s="4" t="inlineStr">
        <is>
          <t xml:space="preserve"> • priemer vrtule: 30 cm 
 • vrtule: plast 
 • nastaviteľná uhol sklonu: áno 
 • oscilácia: 90° 
 • stupne rýchlosti: 3 
 • výkon: 40 W 
 • napájanie: 230 V~ / 50 Hz 
 • hlučnosť: 50,5 dB(A) 
 • rozmery: 34,5 x 47 cm 
 • dĺžka napájacieho kábla: ~1,45 m 
 • hmotnosť: 1,7 kg</t>
        </is>
      </c>
    </row>
    <row r="63">
      <c r="A63" s="3" t="inlineStr">
        <is>
          <t>TF 32/BK</t>
        </is>
      </c>
      <c r="B63" s="2" t="inlineStr">
        <is>
          <t>Stolný ventilátor, 30 cm, 40 W, čierna</t>
        </is>
      </c>
      <c r="C63" s="1" t="n">
        <v>31.99</v>
      </c>
      <c r="D63" s="7" t="n">
        <f>HYPERLINK("https://www.somogyi.sk/product/stolny-ventilator-30-cm-40-w-cierna-tf-32-bk-15753","https://www.somogyi.sk/product/stolny-ventilator-30-cm-40-w-cierna-tf-32-bk-15753")</f>
        <v>0.0</v>
      </c>
      <c r="E63" s="7" t="n">
        <f>HYPERLINK("https://www.somogyi.sk/productimages/product_main_images/small/15753.jpg","https://www.somogyi.sk/productimages/product_main_images/small/15753.jpg")</f>
        <v>0.0</v>
      </c>
      <c r="F63" s="2" t="inlineStr">
        <is>
          <t>5999084937874</t>
        </is>
      </c>
      <c r="G63" s="4" t="inlineStr">
        <is>
          <t xml:space="preserve"> • priemer vrtule: 30 cm 
 • vrtule: plast 
 • nastaviteľná uhol sklonu: áno 
 • oscilácia: zapínateľná 90° oscilácia 
 • stupne rýchlosti: regulovateľný výkon (3 stupne) 
 • výkon: 40 W 
 • napájanie: 230 V~  / 50 Hz 
 • hlučnosť: 54,3 dB(A) 
 • rozmery: 34,5 x 50 cm 
 • dĺžka napájacieho kábla: 1,45 m 
 • hmotnosť: 1,9 kg</t>
        </is>
      </c>
    </row>
    <row r="64">
      <c r="A64" s="3" t="inlineStr">
        <is>
          <t>TF 10 USB</t>
        </is>
      </c>
      <c r="B64" s="2" t="inlineStr">
        <is>
          <t>Stolný USB ventilátor, 10 cm, čierna</t>
        </is>
      </c>
      <c r="C64" s="1" t="n">
        <v>5.59</v>
      </c>
      <c r="D64" s="7" t="n">
        <f>HYPERLINK("https://www.somogyi.sk/product/stolny-usb-ventilator-10-cm-cierna-tf-10-usb-15832","https://www.somogyi.sk/product/stolny-usb-ventilator-10-cm-cierna-tf-10-usb-15832")</f>
        <v>0.0</v>
      </c>
      <c r="E64" s="7" t="n">
        <f>HYPERLINK("https://www.somogyi.sk/productimages/product_main_images/small/15832.jpg","https://www.somogyi.sk/productimages/product_main_images/small/15832.jpg")</f>
        <v>0.0</v>
      </c>
      <c r="F64" s="2" t="inlineStr">
        <is>
          <t>5999084938666</t>
        </is>
      </c>
      <c r="G64" s="4" t="inlineStr">
        <is>
          <t xml:space="preserve"> • priemer vrtule: 10 cm 
 • vrtule: plast 
 • nastaviteľná uhol sklonu: áno 
 • stupne rýchlosti: 1 
 • výkon: 2,5 W 
 • napájanie: USB A prípojka (5 V / 500 mA) 
 • hlučnosť: 48 dB(A) 
 • rozmery: 14,5 x 15 x 9,5 cm 
 • ďalšie informácie: odporúčaný adaptér SA 1100USB (nie je príslušenstvom)</t>
        </is>
      </c>
    </row>
    <row r="65">
      <c r="A65" s="3" t="inlineStr">
        <is>
          <t>WFM 2</t>
        </is>
      </c>
      <c r="B65" s="2" t="inlineStr">
        <is>
          <t>Nástenný ventilátor</t>
        </is>
      </c>
      <c r="C65" s="1" t="n">
        <v>47.99</v>
      </c>
      <c r="D65" s="7" t="n">
        <f>HYPERLINK("https://www.somogyi.sk/product/nastenny-ventilator-wfm-2-18025","https://www.somogyi.sk/product/nastenny-ventilator-wfm-2-18025")</f>
        <v>0.0</v>
      </c>
      <c r="E65" s="7" t="n">
        <f>HYPERLINK("https://www.somogyi.sk/productimages/product_main_images/small/18025.jpg","https://www.somogyi.sk/productimages/product_main_images/small/18025.jpg")</f>
        <v>0.0</v>
      </c>
      <c r="F65" s="2" t="inlineStr">
        <is>
          <t>5999084960476</t>
        </is>
      </c>
      <c r="G65" s="4" t="inlineStr">
        <is>
          <t xml:space="preserve"> • priemer vrtule: 18 cm 
 • vrtule: plast 
 • nastaviteľná uhol sklonu: áno 
 • oscilácia: áno 
 • stupne rýchlosti: 3 
 • výkon: 30 W 
 • napájanie: 220 - 240 V~ / 50 Hz 
 • hlučnosť: LWA= 47,5 dB(A) 
 • N/A: max. prietok vzduchu: F = 13,2 m3 / min 
 • N/A: najvyššia rýchlosť vzduchu: c = 4,1 m/sec 
 • rozmery: 26 x 38,8 x 35 cm 
 • ďalšie informácie: 3 lopatky • otočný spínač a závesný spínač</t>
        </is>
      </c>
    </row>
    <row r="66">
      <c r="A66" s="3" t="inlineStr">
        <is>
          <t>TF 14B</t>
        </is>
      </c>
      <c r="B66" s="2" t="inlineStr">
        <is>
          <t>Stolný, akumulátorový ventilátor, 14 cm, biela farba</t>
        </is>
      </c>
      <c r="C66" s="1" t="n">
        <v>20.99</v>
      </c>
      <c r="D66" s="7" t="n">
        <f>HYPERLINK("https://www.somogyi.sk/product/stolny-akumulatorovy-ventilator-14-cm-biela-farba-tf-14b-17608","https://www.somogyi.sk/product/stolny-akumulatorovy-ventilator-14-cm-biela-farba-tf-14b-17608")</f>
        <v>0.0</v>
      </c>
      <c r="E66" s="7" t="n">
        <f>HYPERLINK("https://www.somogyi.sk/productimages/product_main_images/small/17608.jpg","https://www.somogyi.sk/productimages/product_main_images/small/17608.jpg")</f>
        <v>0.0</v>
      </c>
      <c r="F66" s="2" t="inlineStr">
        <is>
          <t>5999084956301</t>
        </is>
      </c>
      <c r="G66" s="4" t="inlineStr">
        <is>
          <t xml:space="preserve"> • priemer vrtule: 14 cm 
 • vrtule: plast 
 • nastaviteľná uhol sklonu: áno 
 • oscilácia: nastaviteľná oscilácia (60°) 
 • stupne rýchlosti: 4 
 • výkon: 5 W 
 • napájanie: zabudovaný Li-ion akumulátor 4000 mAh, nedá sa vymeniť 
 • hlučnosť: 52 dB(A) 
 • rozmery: 16 x 29 x 14 cm</t>
        </is>
      </c>
    </row>
    <row r="67">
      <c r="A67" s="3" t="inlineStr">
        <is>
          <t>CLF 10/BK</t>
        </is>
      </c>
      <c r="B67" s="2" t="inlineStr">
        <is>
          <t>Štipcový, akumulátorový ventilátor</t>
        </is>
      </c>
      <c r="C67" s="1" t="n">
        <v>9.39</v>
      </c>
      <c r="D67" s="7" t="n">
        <f>HYPERLINK("https://www.somogyi.sk/product/stipcovy-akumulatorovy-ventilator-clf-10-bk-17613","https://www.somogyi.sk/product/stipcovy-akumulatorovy-ventilator-clf-10-bk-17613")</f>
        <v>0.0</v>
      </c>
      <c r="E67" s="7" t="n">
        <f>HYPERLINK("https://www.somogyi.sk/productimages/product_main_images/small/17613.jpg","https://www.somogyi.sk/productimages/product_main_images/small/17613.jpg")</f>
        <v>0.0</v>
      </c>
      <c r="F67" s="2" t="inlineStr">
        <is>
          <t>5999084956356</t>
        </is>
      </c>
      <c r="G67" s="4" t="inlineStr">
        <is>
          <t xml:space="preserve"> • priemer vrtule: 10 cm 
 • vrtule: plast 
 • stupne rýchlosti: 3 
 • napájanie: Li-ion, 18650, 1800 mAh akumulátor 
 • rozmery: 15 x 13 x 19 cm</t>
        </is>
      </c>
    </row>
    <row r="68">
      <c r="A68" s="3" t="inlineStr">
        <is>
          <t>TF 231</t>
        </is>
      </c>
      <c r="B68" s="2" t="inlineStr">
        <is>
          <t>Stolný ventilátor, 23 cm, biela</t>
        </is>
      </c>
      <c r="C68" s="1" t="n">
        <v>23.99</v>
      </c>
      <c r="D68" s="7" t="n">
        <f>HYPERLINK("https://www.somogyi.sk/product/stolny-ventilator-23-cm-biela-tf-231-18002","https://www.somogyi.sk/product/stolny-ventilator-23-cm-biela-tf-231-18002")</f>
        <v>0.0</v>
      </c>
      <c r="E68" s="7" t="n">
        <f>HYPERLINK("https://www.somogyi.sk/productimages/product_main_images/small/18002.jpg","https://www.somogyi.sk/productimages/product_main_images/small/18002.jpg")</f>
        <v>0.0</v>
      </c>
      <c r="F68" s="2" t="inlineStr">
        <is>
          <t>5999084960247</t>
        </is>
      </c>
      <c r="G68" s="4" t="inlineStr">
        <is>
          <t xml:space="preserve"> • 23 cm priemer vrtule 
 • regulovateľný výkon (2 stupne) 
 • fixná poloha alebo otáčanie (90°) 
 • nastaviteľný uhol sklonu 
 • hustá ochranná mriežka 
 • biele 
 • hlučnosť: 48,8 dB (A)</t>
        </is>
      </c>
    </row>
    <row r="69">
      <c r="A69" s="6" t="inlineStr">
        <is>
          <t xml:space="preserve">   Chladenie / Podlahový ventilátor</t>
        </is>
      </c>
      <c r="B69" s="6" t="inlineStr">
        <is>
          <t/>
        </is>
      </c>
      <c r="C69" s="6" t="inlineStr">
        <is>
          <t/>
        </is>
      </c>
      <c r="D69" s="6" t="inlineStr">
        <is>
          <t/>
        </is>
      </c>
      <c r="E69" s="6" t="inlineStr">
        <is>
          <t/>
        </is>
      </c>
      <c r="F69" s="6" t="inlineStr">
        <is>
          <t/>
        </is>
      </c>
      <c r="G69" s="6" t="inlineStr">
        <is>
          <t/>
        </is>
      </c>
    </row>
    <row r="70">
      <c r="A70" s="3" t="inlineStr">
        <is>
          <t>ST-12F-E</t>
        </is>
      </c>
      <c r="B70" s="2" t="inlineStr">
        <is>
          <t>STANLEY podlahový ventilátor</t>
        </is>
      </c>
      <c r="C70" s="1" t="n">
        <v>90.99</v>
      </c>
      <c r="D70" s="7" t="n">
        <f>HYPERLINK("https://www.somogyi.sk/product/stanley-podlahovy-ventilator-st-12f-e-17865","https://www.somogyi.sk/product/stanley-podlahovy-ventilator-st-12f-e-17865")</f>
        <v>0.0</v>
      </c>
      <c r="E70" s="7" t="n">
        <f>HYPERLINK("https://www.somogyi.sk/productimages/product_main_images/small/17865.jpg","https://www.somogyi.sk/productimages/product_main_images/small/17865.jpg")</f>
        <v>0.0</v>
      </c>
      <c r="F70" s="2" t="inlineStr">
        <is>
          <t>0657888150121</t>
        </is>
      </c>
      <c r="G70" s="4" t="inlineStr">
        <is>
          <t xml:space="preserve"> • priemer vrtule: 30,5 cm 
 •  
 • nastaviteľná uhol sklonu: áno 
 • stupne rýchlosti: 3 
 • výkon: 50 W 
 • hlučnosť: 57,2 dB(A) 
 • dĺžka napájacieho kábla: 1,8 m 
 • napájanie: 220 - 240 V~ / 50 Hz 
 • rozmery: 40 x 19 x 41,5 cm 
 • hmotnosť: 3,4 kg</t>
        </is>
      </c>
    </row>
    <row r="71">
      <c r="A71" s="3" t="inlineStr">
        <is>
          <t>PVR 30B</t>
        </is>
      </c>
      <c r="B71" s="2" t="inlineStr">
        <is>
          <t>Podlahový ventilátor s akumulátorom</t>
        </is>
      </c>
      <c r="C71" s="1" t="n">
        <v>69.99</v>
      </c>
      <c r="D71" s="7" t="n">
        <f>HYPERLINK("https://www.somogyi.sk/product/podlahovy-ventilator-s-akumulatorom-pvr-30b-16747","https://www.somogyi.sk/product/podlahovy-ventilator-s-akumulatorom-pvr-30b-16747")</f>
        <v>0.0</v>
      </c>
      <c r="E71" s="7" t="n">
        <f>HYPERLINK("https://www.somogyi.sk/productimages/product_main_images/small/16747.jpg","https://www.somogyi.sk/productimages/product_main_images/small/16747.jpg")</f>
        <v>0.0</v>
      </c>
      <c r="F71" s="2" t="inlineStr">
        <is>
          <t>5999084947798</t>
        </is>
      </c>
      <c r="G71" s="4" t="inlineStr">
        <is>
          <t xml:space="preserve"> • priemer vrtule: menovitý priemer vrtule: 30 cm 
 • doba prevádzky / nabíjania: 3-10 h / 3,5 h 
 • vrtule: kovová 
 • nastaviteľná uhol sklonu: nastaviteľný uhol skolnu (90°) 
 • oscilácia: nie 
 • stupne rýchlosti: bezstupňové nastavenie výkonu 
 • výkon: 20 m 
 • dĺžka napájacieho kábla: dĺžka kábla adaptéra: 1,2 m 
 • napájanie: integrovaný  Li-Ion akumulátor: 8 ks 2000 mAh, 18650 akumulátor / 44,4 Wh 
 • rozmery: 43 x 18 x 38 cm 
 • hmotnosť: 4 kg</t>
        </is>
      </c>
    </row>
    <row r="72">
      <c r="A72" s="3" t="inlineStr">
        <is>
          <t>PVR 35</t>
        </is>
      </c>
      <c r="B72" s="2" t="inlineStr">
        <is>
          <t>Podlahový ventilátor, 35cm, 60W</t>
        </is>
      </c>
      <c r="C72" s="1" t="n">
        <v>41.99</v>
      </c>
      <c r="D72" s="7" t="n">
        <f>HYPERLINK("https://www.somogyi.sk/product/podlahovy-ventilator-35cm-60w-pvr-35-7405","https://www.somogyi.sk/product/podlahovy-ventilator-35cm-60w-pvr-35-7405")</f>
        <v>0.0</v>
      </c>
      <c r="E72" s="7" t="n">
        <f>HYPERLINK("https://www.somogyi.sk/productimages/product_main_images/small/07405.jpg","https://www.somogyi.sk/productimages/product_main_images/small/07405.jpg")</f>
        <v>0.0</v>
      </c>
      <c r="F72" s="2" t="inlineStr">
        <is>
          <t>5998312763940</t>
        </is>
      </c>
      <c r="G72" s="4" t="inlineStr">
        <is>
          <t xml:space="preserve"> • priemer vrtule: 35 cm 
 • vrtule: kovové 
 • nastaviteľná uhol sklonu: 90° 
 • oscilácia: nie 
 • stupne rýchlosti: 3 
 • výkon: 60 W 
 • hlučnosť: 70 dB(A) 
 • dĺžka napájacieho kábla: 1,6 m 
 • napájanie: 230 V~  / 50 Hz 
 • rozmery: 46 x 46 x 20 cm 
 • hmotnosť: 3,5 kg</t>
        </is>
      </c>
    </row>
    <row r="73">
      <c r="A73" s="3" t="inlineStr">
        <is>
          <t>PVR 50</t>
        </is>
      </c>
      <c r="B73" s="2" t="inlineStr">
        <is>
          <t>Podlahový ventilátor, 50cm, 120W</t>
        </is>
      </c>
      <c r="C73" s="1" t="n">
        <v>60.99</v>
      </c>
      <c r="D73" s="7" t="n">
        <f>HYPERLINK("https://www.somogyi.sk/product/podlahovy-ventilator-50cm-120w-pvr-50-13348","https://www.somogyi.sk/product/podlahovy-ventilator-50cm-120w-pvr-50-13348")</f>
        <v>0.0</v>
      </c>
      <c r="E73" s="7" t="n">
        <f>HYPERLINK("https://www.somogyi.sk/productimages/product_main_images/small/13348.jpg","https://www.somogyi.sk/productimages/product_main_images/small/13348.jpg")</f>
        <v>0.0</v>
      </c>
      <c r="F73" s="2" t="inlineStr">
        <is>
          <t>5999084914349</t>
        </is>
      </c>
      <c r="G73" s="4" t="inlineStr">
        <is>
          <t xml:space="preserve"> • priemer vrtule: 50 cm 
 • vrtule: kovové 
 • nastaviteľná uhol sklonu: 90° 
 • oscilácia: nie 
 • stupne rýchlosti: 3 
 • výkon: 120 W 
 • hlučnosť: 70 dB(A) 
 • dĺžka napájacieho kábla: 1,6 m 
 • napájanie: 230 V~  / 50 Hz 
 • rozmery: 60 x 58 x 25 cm 
 • hmotnosť: 6,5 kg</t>
        </is>
      </c>
    </row>
    <row r="74">
      <c r="A74" s="3" t="inlineStr">
        <is>
          <t>PVRO 40</t>
        </is>
      </c>
      <c r="B74" s="2" t="inlineStr">
        <is>
          <t>Podlahový ventilátor, oscilácia, 40 cm, 90 W</t>
        </is>
      </c>
      <c r="C74" s="1" t="n">
        <v>82.99</v>
      </c>
      <c r="D74" s="7" t="n">
        <f>HYPERLINK("https://www.somogyi.sk/product/podlahovy-ventilator-oscilacia-40-cm-90-w-pvro-40-15770","https://www.somogyi.sk/product/podlahovy-ventilator-oscilacia-40-cm-90-w-pvro-40-15770")</f>
        <v>0.0</v>
      </c>
      <c r="E74" s="7" t="n">
        <f>HYPERLINK("https://www.somogyi.sk/productimages/product_main_images/small/15770.jpg","https://www.somogyi.sk/productimages/product_main_images/small/15770.jpg")</f>
        <v>0.0</v>
      </c>
      <c r="F74" s="2" t="inlineStr">
        <is>
          <t>5999084938048</t>
        </is>
      </c>
      <c r="G74" s="4" t="inlineStr">
        <is>
          <t xml:space="preserve"> • priemer vrtule: 40 cm 
 • vrtule: kovová 
 • nastaviteľná uhol sklonu: nastaviteľný uhol skolnu (90°) 
 • oscilácia: áno 
 • stupne rýchlosti: regulovateľný výkon (3 stupne) 
 • výkon: 50 W 
 • hlučnosť: 62 dB(A) 
 • dĺžka napájacieho kábla: 1,2 m 
 • napájanie: 230 V~  / 50 Hz 
 • rozmery: 54 x 50 x 26 cm 
 • hmotnosť: 4,5 kg</t>
        </is>
      </c>
    </row>
    <row r="75">
      <c r="A75" s="6" t="inlineStr">
        <is>
          <t xml:space="preserve">   Chladenie / Stropný ventilátor</t>
        </is>
      </c>
      <c r="B75" s="6" t="inlineStr">
        <is>
          <t/>
        </is>
      </c>
      <c r="C75" s="6" t="inlineStr">
        <is>
          <t/>
        </is>
      </c>
      <c r="D75" s="6" t="inlineStr">
        <is>
          <t/>
        </is>
      </c>
      <c r="E75" s="6" t="inlineStr">
        <is>
          <t/>
        </is>
      </c>
      <c r="F75" s="6" t="inlineStr">
        <is>
          <t/>
        </is>
      </c>
      <c r="G75" s="6" t="inlineStr">
        <is>
          <t/>
        </is>
      </c>
    </row>
    <row r="76">
      <c r="A76" s="3" t="inlineStr">
        <is>
          <t>CF 1050 L</t>
        </is>
      </c>
      <c r="B76" s="2" t="inlineStr">
        <is>
          <t>Stropný ventilátor so svietidlom</t>
        </is>
      </c>
      <c r="C76" s="1" t="n">
        <v>74.99</v>
      </c>
      <c r="D76" s="7" t="n">
        <f>HYPERLINK("https://www.somogyi.sk/product/stropny-ventilator-so-svietidlom-cf-1050-l-16766","https://www.somogyi.sk/product/stropny-ventilator-so-svietidlom-cf-1050-l-16766")</f>
        <v>0.0</v>
      </c>
      <c r="E76" s="7" t="n">
        <f>HYPERLINK("https://www.somogyi.sk/productimages/product_main_images/small/16766.jpg","https://www.somogyi.sk/productimages/product_main_images/small/16766.jpg")</f>
        <v>0.0</v>
      </c>
      <c r="F76" s="2" t="inlineStr">
        <is>
          <t>5999084947989</t>
        </is>
      </c>
      <c r="G76" s="4" t="inlineStr">
        <is>
          <t xml:space="preserve"> • napájanie: 230 V~  / 50 Hz 
 • rozmery: menovitý priemer vrtule: 105 cm 
 • hmotnosť: 5 kg 
 • objímka: 3 x E27 / max. 60 W (zdroj svetla nie je príslušenstvom)</t>
        </is>
      </c>
    </row>
    <row r="77">
      <c r="A77" s="6" t="inlineStr">
        <is>
          <t xml:space="preserve">   Chladenie / Ručný ventilátor</t>
        </is>
      </c>
      <c r="B77" s="6" t="inlineStr">
        <is>
          <t/>
        </is>
      </c>
      <c r="C77" s="6" t="inlineStr">
        <is>
          <t/>
        </is>
      </c>
      <c r="D77" s="6" t="inlineStr">
        <is>
          <t/>
        </is>
      </c>
      <c r="E77" s="6" t="inlineStr">
        <is>
          <t/>
        </is>
      </c>
      <c r="F77" s="6" t="inlineStr">
        <is>
          <t/>
        </is>
      </c>
      <c r="G77" s="6" t="inlineStr">
        <is>
          <t/>
        </is>
      </c>
    </row>
    <row r="78">
      <c r="A78" s="3" t="inlineStr">
        <is>
          <t>HF 10/T</t>
        </is>
      </c>
      <c r="B78" s="2" t="inlineStr">
        <is>
          <t>Ručný, nabíjateľný ventilátor</t>
        </is>
      </c>
      <c r="C78" s="1" t="n">
        <v>5.59</v>
      </c>
      <c r="D78" s="7" t="n">
        <f>HYPERLINK("https://www.somogyi.sk/product/rucny-nabijatelny-ventilator-hf-10-t-16732","https://www.somogyi.sk/product/rucny-nabijatelny-ventilator-hf-10-t-16732")</f>
        <v>0.0</v>
      </c>
      <c r="E78" s="7" t="n">
        <f>HYPERLINK("https://www.somogyi.sk/productimages/product_main_images/small/16732.jpg","https://www.somogyi.sk/productimages/product_main_images/small/16732.jpg")</f>
        <v>0.0</v>
      </c>
      <c r="F78" s="2" t="inlineStr">
        <is>
          <t>5999084947644</t>
        </is>
      </c>
      <c r="G78" s="4" t="inlineStr">
        <is>
          <t xml:space="preserve"> • priemer vrtule: 10 cm 
 • vrtule: plast 
 • čas prevádzky: cca. 5 h 
 •  
 • rozmery: ∅10 x 3,5 x 22 cm počas používania; 3,5 x 3,5 x 12 cm v poskladanom stave 
 • ďalšie informácie: možno zasunúť do puzdra, pohodlne uložiť do tašky alebo priehradky na rukavice / mäkké, tenké lopatky / v prípade potreby použiť aj ako PowerBank (5 V/1000 mA)</t>
        </is>
      </c>
    </row>
    <row r="79">
      <c r="A79" s="6" t="inlineStr">
        <is>
          <t xml:space="preserve">   N/A / N/A</t>
        </is>
      </c>
      <c r="B79" s="6" t="inlineStr">
        <is>
          <t/>
        </is>
      </c>
      <c r="C79" s="6" t="inlineStr">
        <is>
          <t/>
        </is>
      </c>
      <c r="D79" s="6" t="inlineStr">
        <is>
          <t/>
        </is>
      </c>
      <c r="E79" s="6" t="inlineStr">
        <is>
          <t/>
        </is>
      </c>
      <c r="F79" s="6" t="inlineStr">
        <is>
          <t/>
        </is>
      </c>
      <c r="G79" s="6" t="inlineStr">
        <is>
          <t/>
        </is>
      </c>
    </row>
    <row r="80">
      <c r="A80" s="3" t="inlineStr">
        <is>
          <t>GR03</t>
        </is>
      </c>
      <c r="B80" s="2" t="inlineStr">
        <is>
          <t>Gril guľový, s krytom</t>
        </is>
      </c>
      <c r="C80" s="1" t="n">
        <v>143.9</v>
      </c>
      <c r="D80" s="7" t="n">
        <f>HYPERLINK("https://www.somogyi.sk/product/gril-gulovy-s-krytom-gr03-18394","https://www.somogyi.sk/product/gril-gulovy-s-krytom-gr03-18394")</f>
        <v>0.0</v>
      </c>
      <c r="E80" s="7" t="n">
        <f>HYPERLINK("https://www.somogyi.sk/productimages/product_main_images/small/18394.jpg","https://www.somogyi.sk/productimages/product_main_images/small/18394.jpg")</f>
        <v>0.0</v>
      </c>
      <c r="F80" s="2" t="inlineStr">
        <is>
          <t>5999084964122</t>
        </is>
      </c>
      <c r="G80" s="4" t="inlineStr">
        <is>
          <t xml:space="preserve"> • možno použiť s dreveným uhlím a briketami z dreveného uhlia 
 • smaltované, ľahko čistiteľné veko a ohnisko odolné voči korózii 
 • materiál veka: smaltovaná oceľ, Ø59 cm 
 • materiál ohniska: smaltovaná oceľ, Ø57 cm 
 • chrómovaný oceľový rošt, Ø54 cm 
 • výška roštu: 76 cm od zeme 
 • mriežka na drevené uhlie, pozinkovaná oceľ: Ø43 cm 
 • ľahko vyberateľná nádoba na popol 
 • regulátory vzduchu na veku a nádoby na popol 
 • nohy: 430 SS 
 • jednoduché premiestnenie pomocou koliesok 
 • teplomer zabudovaný vo veku 
 • hmotnosť: 11 kg</t>
        </is>
      </c>
    </row>
    <row r="81">
      <c r="A81" s="3" t="inlineStr">
        <is>
          <t>GR02</t>
        </is>
      </c>
      <c r="B81" s="2" t="inlineStr">
        <is>
          <t>Gril guľový, s krytom</t>
        </is>
      </c>
      <c r="C81" s="1" t="n">
        <v>54.99</v>
      </c>
      <c r="D81" s="7" t="n">
        <f>HYPERLINK("https://www.somogyi.sk/product/gril-gulovy-s-krytom-gr02-18395","https://www.somogyi.sk/product/gril-gulovy-s-krytom-gr02-18395")</f>
        <v>0.0</v>
      </c>
      <c r="E81" s="7" t="n">
        <f>HYPERLINK("https://www.somogyi.sk/productimages/product_main_images/small/18395.jpg","https://www.somogyi.sk/productimages/product_main_images/small/18395.jpg")</f>
        <v>0.0</v>
      </c>
      <c r="F81" s="2" t="inlineStr">
        <is>
          <t>5999084964139</t>
        </is>
      </c>
      <c r="G81" s="4" t="inlineStr">
        <is>
          <t xml:space="preserve"> • možno použiť s dreveným uhlím a briketami z dreveného uhlia 
 • smaltované, ľahko čistiteľné veko a ohnisko odolné voči korózii 
 • materiál veka: smaltovaná oceľ, Ø46,5 cm 
 • chrómovaný oceľový rošt, Ø43,5 cm 
 • výška roštu: 64 cm od zeme 
 • nehrdzavejúca nádoba na popol 
 • regulátory vzduchu na veku a pod ohniskom 
 • 3 drevené rukoväte 
 • nohy potiahnuté sivou práškovou farbou 
 • jednoduché premiestnenie pomocou koliesok  
 • hmotnosť: 4,7 kg</t>
        </is>
      </c>
    </row>
    <row r="82">
      <c r="A82" s="3" t="inlineStr">
        <is>
          <t>GR01</t>
        </is>
      </c>
      <c r="B82" s="2" t="inlineStr">
        <is>
          <t>Prenosný gril</t>
        </is>
      </c>
      <c r="C82" s="1" t="n">
        <v>52.99</v>
      </c>
      <c r="D82" s="7" t="n">
        <f>HYPERLINK("https://www.somogyi.sk/product/prenosny-gril-gr01-18393","https://www.somogyi.sk/product/prenosny-gril-gr01-18393")</f>
        <v>0.0</v>
      </c>
      <c r="E82" s="7" t="n">
        <f>HYPERLINK("https://www.somogyi.sk/productimages/product_main_images/small/18393.jpg","https://www.somogyi.sk/productimages/product_main_images/small/18393.jpg")</f>
        <v>0.0</v>
      </c>
      <c r="F82" s="2" t="inlineStr">
        <is>
          <t>5999084964115</t>
        </is>
      </c>
      <c r="G82" s="4" t="inlineStr">
        <is>
          <t xml:space="preserve"> • možno použiť s dreveným uhlím a briketami z dreveného uhlia  
 • dvojitá grilovacia plocha, ideálny na kempovanie a piknik 
 • jednoduché premiestnenie pomocou drevenej rukoväte 
 • 2 rošty na pečenie, 2 mriežky na drevené uhlie 
 • výška roštu: 22 cm od stola 
 • rozmery roštu: 34 x 22,5 cm 
 • oceľové nohy 
 • regulátor vzduchu 
 • hmotnosť: 3 kg</t>
        </is>
      </c>
    </row>
    <row r="83">
      <c r="A83" s="6" t="inlineStr">
        <is>
          <t xml:space="preserve">   N/A / N/A</t>
        </is>
      </c>
      <c r="B83" s="6" t="inlineStr">
        <is>
          <t/>
        </is>
      </c>
      <c r="C83" s="6" t="inlineStr">
        <is>
          <t/>
        </is>
      </c>
      <c r="D83" s="6" t="inlineStr">
        <is>
          <t/>
        </is>
      </c>
      <c r="E83" s="6" t="inlineStr">
        <is>
          <t/>
        </is>
      </c>
      <c r="F83" s="6" t="inlineStr">
        <is>
          <t/>
        </is>
      </c>
      <c r="G83" s="6" t="inlineStr">
        <is>
          <t/>
        </is>
      </c>
    </row>
    <row r="84">
      <c r="A84" s="3" t="inlineStr">
        <is>
          <t>HG GR 03</t>
        </is>
      </c>
      <c r="B84" s="2" t="inlineStr">
        <is>
          <t>Elektrický gril, 2000 W</t>
        </is>
      </c>
      <c r="C84" s="1" t="n">
        <v>42.99</v>
      </c>
      <c r="D84" s="7" t="n">
        <f>HYPERLINK("https://www.somogyi.sk/product/elektricky-gril-2000-w-hg-gr-03-17523","https://www.somogyi.sk/product/elektricky-gril-2000-w-hg-gr-03-17523")</f>
        <v>0.0</v>
      </c>
      <c r="E84" s="7" t="n">
        <f>HYPERLINK("https://www.somogyi.sk/productimages/product_main_images/small/17523.jpg","https://www.somogyi.sk/productimages/product_main_images/small/17523.jpg")</f>
        <v>0.0</v>
      </c>
      <c r="F84" s="2" t="inlineStr">
        <is>
          <t>5999084955458</t>
        </is>
      </c>
      <c r="G84" s="4" t="inlineStr">
        <is>
          <t xml:space="preserve"> • ideálny počas celého roka, na vnútorné grilovanie 
 • rýchly ohrev 
 • mimoriadne jednoduché čistenie 
 • nastaviteľná teplota 
 • nepriľnavá vrúbkovaná a hladká plocha 
 • izolovaná plastová rukoväť 
 • stabilný plastový stojan s gumenými nožičkami 
 • odstrániteľná zásuvka na olej 
 • dĺžka pripojovacieho kábla: 0,8 m</t>
        </is>
      </c>
    </row>
    <row r="85">
      <c r="A85" s="3" t="inlineStr">
        <is>
          <t>HG KG 01</t>
        </is>
      </c>
      <c r="B85" s="2" t="inlineStr">
        <is>
          <t>Mini elektrický gril, 800-1000 W</t>
        </is>
      </c>
      <c r="C85" s="1" t="n">
        <v>27.99</v>
      </c>
      <c r="D85" s="7" t="n">
        <f>HYPERLINK("https://www.somogyi.sk/product/mini-elektricky-gril-800-1000-w-hg-kg-01-17768","https://www.somogyi.sk/product/mini-elektricky-gril-800-1000-w-hg-kg-01-17768")</f>
        <v>0.0</v>
      </c>
      <c r="E85" s="7" t="n">
        <f>HYPERLINK("https://www.somogyi.sk/productimages/product_main_images/small/17768.jpg","https://www.somogyi.sk/productimages/product_main_images/small/17768.jpg")</f>
        <v>0.0</v>
      </c>
      <c r="F85" s="2" t="inlineStr">
        <is>
          <t>5999084957902</t>
        </is>
      </c>
      <c r="G85" s="4" t="inlineStr">
        <is>
          <t xml:space="preserve"> • 800-1000 W výkon 
 • nepriľnavý povrch 
 • jednoduché čistenie 
 • paralelné plochy na pečenie, ktoré sa prispôsobia výške pokrmu 
 • ochrana proti prehriatiu 
 • rozmery grilovacej plochy: 230 x 145 mm 
 • rozmery: 27 x 7,5 x 24 cm</t>
        </is>
      </c>
    </row>
    <row r="86">
      <c r="A86" s="6" t="inlineStr">
        <is>
          <t xml:space="preserve">   Domáce spotrebiče / Drvič</t>
        </is>
      </c>
      <c r="B86" s="6" t="inlineStr">
        <is>
          <t/>
        </is>
      </c>
      <c r="C86" s="6" t="inlineStr">
        <is>
          <t/>
        </is>
      </c>
      <c r="D86" s="6" t="inlineStr">
        <is>
          <t/>
        </is>
      </c>
      <c r="E86" s="6" t="inlineStr">
        <is>
          <t/>
        </is>
      </c>
      <c r="F86" s="6" t="inlineStr">
        <is>
          <t/>
        </is>
      </c>
      <c r="G86" s="6" t="inlineStr">
        <is>
          <t/>
        </is>
      </c>
    </row>
    <row r="87">
      <c r="A87" s="3" t="inlineStr">
        <is>
          <t>HG AP 13</t>
        </is>
      </c>
      <c r="B87" s="2" t="inlineStr">
        <is>
          <t>Sekáč, sklenená nádoba, 320 W</t>
        </is>
      </c>
      <c r="C87" s="1" t="n">
        <v>28.99</v>
      </c>
      <c r="D87" s="7" t="n">
        <f>HYPERLINK("https://www.somogyi.sk/product/sekac-sklenena-nadoba-320-w-hg-ap-13-15239","https://www.somogyi.sk/product/sekac-sklenena-nadoba-320-w-hg-ap-13-15239")</f>
        <v>0.0</v>
      </c>
      <c r="E87" s="7" t="n">
        <f>HYPERLINK("https://www.somogyi.sk/productimages/product_main_images/small/15239.jpg","https://www.somogyi.sk/productimages/product_main_images/small/15239.jpg")</f>
        <v>0.0</v>
      </c>
      <c r="F87" s="2" t="inlineStr">
        <is>
          <t>5999084932732</t>
        </is>
      </c>
      <c r="G87" s="4" t="inlineStr">
        <is>
          <t xml:space="preserve"> • výkon: 320 W 
 • kapacita: 1 l, sklenená nádoba 
 • nôž: nehrdzavejúca 
 • napájanie: 230 V~ 
 • rozmery: 19 x 22 x 16 cm 
 • hmotnosť: 1,7 kg</t>
        </is>
      </c>
    </row>
    <row r="88">
      <c r="A88" s="3" t="inlineStr">
        <is>
          <t>S501GW</t>
        </is>
      </c>
      <c r="B88" s="2" t="inlineStr">
        <is>
          <t>Sekáčik Gorenje, 500 W</t>
        </is>
      </c>
      <c r="C88" s="1" t="n">
        <v>32.99</v>
      </c>
      <c r="D88" s="7" t="n">
        <f>HYPERLINK("https://www.somogyi.sk/product/sekacik-gorenje-500-w-s501gw-18297","https://www.somogyi.sk/product/sekacik-gorenje-500-w-s501gw-18297")</f>
        <v>0.0</v>
      </c>
      <c r="E88" s="7" t="n">
        <f>HYPERLINK("https://www.somogyi.sk/productimages/product_main_images/small/18297.jpg","https://www.somogyi.sk/productimages/product_main_images/small/18297.jpg")</f>
        <v>0.0</v>
      </c>
      <c r="F88" s="2" t="inlineStr">
        <is>
          <t>3838782606762</t>
        </is>
      </c>
      <c r="G88" s="4" t="inlineStr">
        <is>
          <t xml:space="preserve"> • výkon: 500 W 
 • tlačidlo ON/OFF 
 • dvojitá čepeľ vysokej kvality z nehrdzavejúcej ocele 
 • nádoba s odmerkou 
 • možno umývať v umývačke riadu 
 • biela</t>
        </is>
      </c>
    </row>
    <row r="89">
      <c r="A89" s="3" t="inlineStr">
        <is>
          <t>C-13</t>
        </is>
      </c>
      <c r="B89" s="2" t="inlineStr">
        <is>
          <t>Drvič</t>
        </is>
      </c>
      <c r="C89" s="1" t="n">
        <v>22.99</v>
      </c>
      <c r="D89" s="7" t="n">
        <f>HYPERLINK("https://www.somogyi.sk/product/drvic-c-13-10387","https://www.somogyi.sk/product/drvic-c-13-10387")</f>
        <v>0.0</v>
      </c>
      <c r="E89" s="7" t="n">
        <f>HYPERLINK("https://www.somogyi.sk/productimages/product_main_images/small/10387.jpg","https://www.somogyi.sk/productimages/product_main_images/small/10387.jpg")</f>
        <v>0.0</v>
      </c>
      <c r="F89" s="2" t="inlineStr">
        <is>
          <t>5998777335768</t>
        </is>
      </c>
      <c r="G89" s="4" t="inlineStr">
        <is>
          <t xml:space="preserve"> • výkon: 300 W 
 • kapacita: 1 L 
 • protišmyková podložka: áno 
 • uzamykací systém: bezpečnostný 
 • nôž: nerezový 
 • napájanie: 230 V~ / 50 Hz</t>
        </is>
      </c>
    </row>
    <row r="90">
      <c r="A90" s="3" t="inlineStr">
        <is>
          <t>HG AP 18</t>
        </is>
      </c>
      <c r="B90" s="2" t="inlineStr">
        <is>
          <t>Multifunkčný sekáč, 1,8L, 400 W</t>
        </is>
      </c>
      <c r="C90" s="1" t="n">
        <v>43.99</v>
      </c>
      <c r="D90" s="7" t="n">
        <f>HYPERLINK("https://www.somogyi.sk/product/multifunkcny-sekac-1-8l-400-w-hg-ap-18-18052","https://www.somogyi.sk/product/multifunkcny-sekac-1-8l-400-w-hg-ap-18-18052")</f>
        <v>0.0</v>
      </c>
      <c r="E90" s="7" t="n">
        <f>HYPERLINK("https://www.somogyi.sk/productimages/product_main_images/small/18052.jpg","https://www.somogyi.sk/productimages/product_main_images/small/18052.jpg")</f>
        <v>0.0</v>
      </c>
      <c r="F90" s="2" t="inlineStr">
        <is>
          <t>5999084960742</t>
        </is>
      </c>
      <c r="G90" s="4" t="inlineStr">
        <is>
          <t xml:space="preserve"> • výkon: 400 W 
 • kapacita: 1,8 l 
 • napájanie: 220-240 V~ / 50 Hz 
 • rozmery: 218 x 258 x 180 mm</t>
        </is>
      </c>
    </row>
    <row r="91">
      <c r="A91" s="6" t="inlineStr">
        <is>
          <t xml:space="preserve">   Domáce spotrebiče / Sušička potravín</t>
        </is>
      </c>
      <c r="B91" s="6" t="inlineStr">
        <is>
          <t/>
        </is>
      </c>
      <c r="C91" s="6" t="inlineStr">
        <is>
          <t/>
        </is>
      </c>
      <c r="D91" s="6" t="inlineStr">
        <is>
          <t/>
        </is>
      </c>
      <c r="E91" s="6" t="inlineStr">
        <is>
          <t/>
        </is>
      </c>
      <c r="F91" s="6" t="inlineStr">
        <is>
          <t/>
        </is>
      </c>
      <c r="G91" s="6" t="inlineStr">
        <is>
          <t/>
        </is>
      </c>
    </row>
    <row r="92">
      <c r="A92" s="3" t="inlineStr">
        <is>
          <t>HG ASZ 5</t>
        </is>
      </c>
      <c r="B92" s="2" t="inlineStr">
        <is>
          <t>Sušička, 250 W</t>
        </is>
      </c>
      <c r="C92" s="1" t="n">
        <v>67.99</v>
      </c>
      <c r="D92" s="7" t="n">
        <f>HYPERLINK("https://www.somogyi.sk/product/susicka-250-w-hg-asz-5-18054","https://www.somogyi.sk/product/susicka-250-w-hg-asz-5-18054")</f>
        <v>0.0</v>
      </c>
      <c r="E92" s="7" t="n">
        <f>HYPERLINK("https://www.somogyi.sk/productimages/product_main_images/small/18054.jpg","https://www.somogyi.sk/productimages/product_main_images/small/18054.jpg")</f>
        <v>0.0</v>
      </c>
      <c r="F92" s="2" t="inlineStr">
        <is>
          <t>5999084960766</t>
        </is>
      </c>
      <c r="G92" s="4" t="inlineStr">
        <is>
          <t xml:space="preserve"> • výkon: 400 W 
 • počet táciek: 5 ks 
 • teplota sušenia: medzi 35-70°C 
 • napájanie: 230 V~ / 50 Hz 
 • rozmery: 31 x 21 x 25 cm 
 • hlučnosť: 68 dB(A)</t>
        </is>
      </c>
    </row>
    <row r="93">
      <c r="A93" s="6" t="inlineStr">
        <is>
          <t xml:space="preserve">   Domáce spotrebiče / Zváračka fólií</t>
        </is>
      </c>
      <c r="B93" s="6" t="inlineStr">
        <is>
          <t/>
        </is>
      </c>
      <c r="C93" s="6" t="inlineStr">
        <is>
          <t/>
        </is>
      </c>
      <c r="D93" s="6" t="inlineStr">
        <is>
          <t/>
        </is>
      </c>
      <c r="E93" s="6" t="inlineStr">
        <is>
          <t/>
        </is>
      </c>
      <c r="F93" s="6" t="inlineStr">
        <is>
          <t/>
        </is>
      </c>
      <c r="G93" s="6" t="inlineStr">
        <is>
          <t/>
        </is>
      </c>
    </row>
    <row r="94">
      <c r="A94" s="3" t="inlineStr">
        <is>
          <t>VB28/300</t>
        </is>
      </c>
      <c r="B94" s="2" t="inlineStr">
        <is>
          <t>Gorenje vrecká do vákuovačky</t>
        </is>
      </c>
      <c r="C94" s="1" t="n">
        <v>12.99</v>
      </c>
      <c r="D94" s="7" t="n">
        <f>HYPERLINK("https://www.somogyi.sk/product/gorenje-vrecka-do-vakuovacky-vb28-300-17192","https://www.somogyi.sk/product/gorenje-vrecka-do-vakuovacky-vb28-300-17192")</f>
        <v>0.0</v>
      </c>
      <c r="E94" s="7" t="n">
        <f>HYPERLINK("https://www.somogyi.sk/productimages/product_main_images/small/17192.jpg","https://www.somogyi.sk/productimages/product_main_images/small/17192.jpg")</f>
        <v>0.0</v>
      </c>
      <c r="F94" s="2" t="inlineStr">
        <is>
          <t>3838942741166</t>
        </is>
      </c>
      <c r="G94" s="4" t="inlineStr">
        <is>
          <t xml:space="preserve"> • objem: 2 l 
 • balenie: 3 ks / balenie 
 • rozmery: 28 x 300 cm</t>
        </is>
      </c>
    </row>
    <row r="95">
      <c r="A95" s="3" t="inlineStr">
        <is>
          <t>VS120W</t>
        </is>
      </c>
      <c r="B95" s="2" t="inlineStr">
        <is>
          <t>Gorenje vákuovačka</t>
        </is>
      </c>
      <c r="C95" s="1" t="n">
        <v>71.99</v>
      </c>
      <c r="D95" s="7" t="n">
        <f>HYPERLINK("https://www.somogyi.sk/product/gorenje-vakuovacka-vs120w-17190","https://www.somogyi.sk/product/gorenje-vakuovacka-vs120w-17190")</f>
        <v>0.0</v>
      </c>
      <c r="E95" s="7" t="n">
        <f>HYPERLINK("https://www.somogyi.sk/productimages/product_main_images/small/17190.jpg","https://www.somogyi.sk/productimages/product_main_images/small/17190.jpg")</f>
        <v>0.0</v>
      </c>
      <c r="F95" s="2" t="inlineStr">
        <is>
          <t>3838782060854</t>
        </is>
      </c>
      <c r="G95" s="4" t="inlineStr">
        <is>
          <t xml:space="preserve"> • výkon: 120 W 
 • vákuové odsávanie: áno 
 • napájanie: 230 V~ / 50 Hz 
 • rozmery: 38 x 5,9 x 15,2 cm 
 • hmotnosť: 1,4 kg</t>
        </is>
      </c>
    </row>
    <row r="96">
      <c r="A96" s="3" t="inlineStr">
        <is>
          <t>VB12/55</t>
        </is>
      </c>
      <c r="B96" s="2" t="inlineStr">
        <is>
          <t>Gorenje vrecká do vákuovačky</t>
        </is>
      </c>
      <c r="C96" s="1" t="n">
        <v>11.49</v>
      </c>
      <c r="D96" s="7" t="n">
        <f>HYPERLINK("https://www.somogyi.sk/product/gorenje-vrecka-do-vakuovacky-vb12-55-17191","https://www.somogyi.sk/product/gorenje-vrecka-do-vakuovacky-vb12-55-17191")</f>
        <v>0.0</v>
      </c>
      <c r="E96" s="7" t="n">
        <f>HYPERLINK("https://www.somogyi.sk/productimages/product_main_images/small/17191.jpg","https://www.somogyi.sk/productimages/product_main_images/small/17191.jpg")</f>
        <v>0.0</v>
      </c>
      <c r="F96" s="2" t="inlineStr">
        <is>
          <t>3838942741173</t>
        </is>
      </c>
      <c r="G96" s="4" t="inlineStr">
        <is>
          <t xml:space="preserve"> • objem: 1 l 
 • balenie: 30 ks / balenie 
 • rozmery: 12 x 55 cm</t>
        </is>
      </c>
    </row>
    <row r="97">
      <c r="A97" s="3" t="inlineStr">
        <is>
          <t>VB28/300</t>
        </is>
      </c>
      <c r="B97" s="2" t="inlineStr">
        <is>
          <t>Gorenje vrecká do vákuovačky</t>
        </is>
      </c>
      <c r="C97" s="1" t="n">
        <v>16.99</v>
      </c>
      <c r="D97" s="7" t="n">
        <f>HYPERLINK("https://www.somogyi.sk/product/gorenje-vrecka-do-vakuovacky-vb28-300-17192","https://www.somogyi.sk/product/gorenje-vrecka-do-vakuovacky-vb28-300-17192")</f>
        <v>0.0</v>
      </c>
      <c r="E97" s="7" t="n">
        <f>HYPERLINK("https://www.somogyi.sk/productimages/product_main_images/small/17192.jpg","https://www.somogyi.sk/productimages/product_main_images/small/17192.jpg")</f>
        <v>0.0</v>
      </c>
      <c r="F97" s="2" t="inlineStr">
        <is>
          <t>3838942741166</t>
        </is>
      </c>
      <c r="G97" s="4" t="inlineStr">
        <is>
          <t xml:space="preserve"> • objem: 2 l 
 • balenie: 3 ks / balenie 
 • rozmery: 28 x 300 cm</t>
        </is>
      </c>
    </row>
    <row r="98">
      <c r="A98" s="3" t="inlineStr">
        <is>
          <t>VB12/55</t>
        </is>
      </c>
      <c r="B98" s="2" t="inlineStr">
        <is>
          <t>Gorenje vrecká do vákuovačky</t>
        </is>
      </c>
      <c r="C98" s="1" t="n">
        <v>14.99</v>
      </c>
      <c r="D98" s="7" t="n">
        <f>HYPERLINK("https://www.somogyi.sk/product/gorenje-vrecka-do-vakuovacky-vb12-55-17191","https://www.somogyi.sk/product/gorenje-vrecka-do-vakuovacky-vb12-55-17191")</f>
        <v>0.0</v>
      </c>
      <c r="E98" s="7" t="n">
        <f>HYPERLINK("https://www.somogyi.sk/productimages/product_main_images/small/17191.jpg","https://www.somogyi.sk/productimages/product_main_images/small/17191.jpg")</f>
        <v>0.0</v>
      </c>
      <c r="F98" s="2" t="inlineStr">
        <is>
          <t>3838942741173</t>
        </is>
      </c>
      <c r="G98" s="4" t="inlineStr">
        <is>
          <t xml:space="preserve"> • objem: 1 l 
 • balenie: 30 ks / balenie 
 • rozmery: 12 x 55 cm</t>
        </is>
      </c>
    </row>
    <row r="99">
      <c r="A99" s="3" t="inlineStr">
        <is>
          <t>VS120W</t>
        </is>
      </c>
      <c r="B99" s="2" t="inlineStr">
        <is>
          <t>Gorenje vákuovačka</t>
        </is>
      </c>
      <c r="C99" s="1" t="n">
        <v>60.99</v>
      </c>
      <c r="D99" s="7" t="n">
        <f>HYPERLINK("https://www.somogyi.sk/product/gorenje-vakuovacka-vs120w-17190","https://www.somogyi.sk/product/gorenje-vakuovacka-vs120w-17190")</f>
        <v>0.0</v>
      </c>
      <c r="E99" s="7" t="n">
        <f>HYPERLINK("https://www.somogyi.sk/productimages/product_main_images/small/17190.jpg","https://www.somogyi.sk/productimages/product_main_images/small/17190.jpg")</f>
        <v>0.0</v>
      </c>
      <c r="F99" s="2" t="inlineStr">
        <is>
          <t>3838782060854</t>
        </is>
      </c>
      <c r="G99" s="4" t="inlineStr">
        <is>
          <t xml:space="preserve"> • výkon: 120 W 
 • vákuové odsávanie: áno 
 • napájanie: 230 V~ / 50 Hz 
 • rozmery: 38 x 5,9 x 15,2 cm 
 • hmotnosť: 1,4 kg</t>
        </is>
      </c>
    </row>
    <row r="100">
      <c r="A100" s="6" t="inlineStr">
        <is>
          <t xml:space="preserve">   Domáce spotrebiče / Odšťavovač</t>
        </is>
      </c>
      <c r="B100" s="6" t="inlineStr">
        <is>
          <t/>
        </is>
      </c>
      <c r="C100" s="6" t="inlineStr">
        <is>
          <t/>
        </is>
      </c>
      <c r="D100" s="6" t="inlineStr">
        <is>
          <t/>
        </is>
      </c>
      <c r="E100" s="6" t="inlineStr">
        <is>
          <t/>
        </is>
      </c>
      <c r="F100" s="6" t="inlineStr">
        <is>
          <t/>
        </is>
      </c>
      <c r="G100" s="6" t="inlineStr">
        <is>
          <t/>
        </is>
      </c>
    </row>
    <row r="101">
      <c r="A101" s="3" t="inlineStr">
        <is>
          <t>CJ100HE</t>
        </is>
      </c>
      <c r="B101" s="2" t="inlineStr">
        <is>
          <t>Gorenje lis na ovocie</t>
        </is>
      </c>
      <c r="C101" s="1" t="n">
        <v>46.99</v>
      </c>
      <c r="D101" s="7" t="n">
        <f>HYPERLINK("https://www.somogyi.sk/product/gorenje-lis-na-ovocie-cj100he-17187","https://www.somogyi.sk/product/gorenje-lis-na-ovocie-cj100he-17187")</f>
        <v>0.0</v>
      </c>
      <c r="E101" s="7" t="n">
        <f>HYPERLINK("https://www.somogyi.sk/productimages/product_main_images/small/17187.jpg","https://www.somogyi.sk/productimages/product_main_images/small/17187.jpg")</f>
        <v>0.0</v>
      </c>
      <c r="F101" s="2" t="inlineStr">
        <is>
          <t>3838782069352</t>
        </is>
      </c>
      <c r="G101" s="4" t="inlineStr">
        <is>
          <t xml:space="preserve"> • výkon: 100 W 
 • napájanie: 230 V~ / 50 Hz 
 • rozmery: 16,5 x 28,5 x 21 mm 
 • hmotnosť: 1,9 kg</t>
        </is>
      </c>
    </row>
    <row r="102">
      <c r="A102" s="3" t="inlineStr">
        <is>
          <t>JC805EII</t>
        </is>
      </c>
      <c r="B102" s="2" t="inlineStr">
        <is>
          <t>Gorenje odšťavovač</t>
        </is>
      </c>
      <c r="C102" s="1" t="n">
        <v>75.99</v>
      </c>
      <c r="D102" s="7" t="n">
        <f>HYPERLINK("https://www.somogyi.sk/product/gorenje-odstavovac-jc805eii-18028","https://www.somogyi.sk/product/gorenje-odstavovac-jc805eii-18028")</f>
        <v>0.0</v>
      </c>
      <c r="E102" s="7" t="n">
        <f>HYPERLINK("https://www.somogyi.sk/productimages/product_main_images/small/18028.jpg","https://www.somogyi.sk/productimages/product_main_images/small/18028.jpg")</f>
        <v>0.0</v>
      </c>
      <c r="F102" s="2" t="inlineStr">
        <is>
          <t>3838942074820</t>
        </is>
      </c>
      <c r="G102" s="4" t="inlineStr">
        <is>
          <t xml:space="preserve"> • výkon: 800 W 
 • rýchlostné stupne: 2 
 • nádoba na odpad: 1,5 l 
 • napájanie: 230 V~ / 50 Hz 
 • rozmery: 29 x 39,8 x 21 cm 
 • hmotnosť: 3,7 kg</t>
        </is>
      </c>
    </row>
    <row r="103">
      <c r="A103" s="3" t="inlineStr">
        <is>
          <t>CJ100HE</t>
        </is>
      </c>
      <c r="B103" s="2" t="inlineStr">
        <is>
          <t>Gorenje lis na ovocie</t>
        </is>
      </c>
      <c r="C103" s="1" t="n">
        <v>57.99</v>
      </c>
      <c r="D103" s="7" t="n">
        <f>HYPERLINK("https://www.somogyi.sk/product/gorenje-lis-na-ovocie-cj100he-17187","https://www.somogyi.sk/product/gorenje-lis-na-ovocie-cj100he-17187")</f>
        <v>0.0</v>
      </c>
      <c r="E103" s="7" t="n">
        <f>HYPERLINK("https://www.somogyi.sk/productimages/product_main_images/small/17187.jpg","https://www.somogyi.sk/productimages/product_main_images/small/17187.jpg")</f>
        <v>0.0</v>
      </c>
      <c r="F103" s="2" t="inlineStr">
        <is>
          <t>3838782069352</t>
        </is>
      </c>
      <c r="G103" s="4" t="inlineStr">
        <is>
          <t xml:space="preserve"> • výkon: 100 W 
 • napájanie: 230 V~ / 50 Hz 
 • rozmery: 16,5 x 28,5 x 21 mm 
 • hmotnosť: 1,9 kg</t>
        </is>
      </c>
    </row>
    <row r="104">
      <c r="A104" s="6" t="inlineStr">
        <is>
          <t xml:space="preserve">   Domáce spotrebiče / Mlynček na mäso</t>
        </is>
      </c>
      <c r="B104" s="6" t="inlineStr">
        <is>
          <t/>
        </is>
      </c>
      <c r="C104" s="6" t="inlineStr">
        <is>
          <t/>
        </is>
      </c>
      <c r="D104" s="6" t="inlineStr">
        <is>
          <t/>
        </is>
      </c>
      <c r="E104" s="6" t="inlineStr">
        <is>
          <t/>
        </is>
      </c>
      <c r="F104" s="6" t="inlineStr">
        <is>
          <t/>
        </is>
      </c>
      <c r="G104" s="6" t="inlineStr">
        <is>
          <t/>
        </is>
      </c>
    </row>
    <row r="105">
      <c r="A105" s="3" t="inlineStr">
        <is>
          <t>HG HD 1300/SZ</t>
        </is>
      </c>
      <c r="B105" s="2" t="inlineStr">
        <is>
          <t>Krájacia, sekacia sada k HG HD 1300</t>
        </is>
      </c>
      <c r="C105" s="1" t="n">
        <v>11.99</v>
      </c>
      <c r="D105" s="7" t="n">
        <f>HYPERLINK("https://www.somogyi.sk/product/krajacia-sekacia-sada-k-hg-hd-1300-hg-hd-1300-sz-16643","https://www.somogyi.sk/product/krajacia-sekacia-sada-k-hg-hd-1300-hg-hd-1300-sz-16643")</f>
        <v>0.0</v>
      </c>
      <c r="E105" s="7" t="n">
        <f>HYPERLINK("https://www.somogyi.sk/productimages/product_main_images/small/16643.jpg","https://www.somogyi.sk/productimages/product_main_images/small/16643.jpg")</f>
        <v>0.0</v>
      </c>
      <c r="F105" s="2" t="inlineStr">
        <is>
          <t>5999084946753</t>
        </is>
      </c>
      <c r="G105" s="4" t="inlineStr">
        <is>
          <t xml:space="preserve"> • rozmery: 90 x 105 x 220 mm</t>
        </is>
      </c>
    </row>
    <row r="106">
      <c r="A106" s="3" t="inlineStr">
        <is>
          <t>MG1602W</t>
        </is>
      </c>
      <c r="B106" s="2" t="inlineStr">
        <is>
          <t>Mlynček na mäso Gorenje, 1600 W</t>
        </is>
      </c>
      <c r="C106" s="1" t="n">
        <v>76.99</v>
      </c>
      <c r="D106" s="7" t="n">
        <f>HYPERLINK("https://www.somogyi.sk/product/mlyncek-na-maso-gorenje-1600-w-mg1602w-18291","https://www.somogyi.sk/product/mlyncek-na-maso-gorenje-1600-w-mg1602w-18291")</f>
        <v>0.0</v>
      </c>
      <c r="E106" s="7" t="n">
        <f>HYPERLINK("https://www.somogyi.sk/productimages/product_main_images/small/18291.jpg","https://www.somogyi.sk/productimages/product_main_images/small/18291.jpg")</f>
        <v>0.0</v>
      </c>
      <c r="F106" s="2" t="inlineStr">
        <is>
          <t>3838782570759</t>
        </is>
      </c>
      <c r="G106" s="4" t="inlineStr">
        <is>
          <t xml:space="preserve"> • výkon: 1600 W 
 • rošt: 2 ks: na hrubé mletie, jemné mletie 
 • prevádzka vpred / späť: áno 
 • napájanie: 230 V~ / 50 Hz 
 • rozmery: 23 x 18 x 23 cm 
 • hmotnosť: 2,2 kg 
 • kapacita: 1,9 kg/min.</t>
        </is>
      </c>
    </row>
    <row r="107">
      <c r="A107" s="3" t="inlineStr">
        <is>
          <t>HG HD 1300</t>
        </is>
      </c>
      <c r="B107" s="2" t="inlineStr">
        <is>
          <t>Mlynček na mäso, 1300 W</t>
        </is>
      </c>
      <c r="C107" s="1" t="n">
        <v>67.99</v>
      </c>
      <c r="D107" s="7" t="n">
        <f>HYPERLINK("https://www.somogyi.sk/product/mlyncek-na-maso-1300-w-hg-hd-1300-16641","https://www.somogyi.sk/product/mlyncek-na-maso-1300-w-hg-hd-1300-16641")</f>
        <v>0.0</v>
      </c>
      <c r="E107" s="7" t="n">
        <f>HYPERLINK("https://www.somogyi.sk/productimages/product_main_images/small/16641.jpg","https://www.somogyi.sk/productimages/product_main_images/small/16641.jpg")</f>
        <v>0.0</v>
      </c>
      <c r="F107" s="2" t="inlineStr">
        <is>
          <t>5999084946739</t>
        </is>
      </c>
      <c r="G107" s="4" t="inlineStr">
        <is>
          <t xml:space="preserve"> • výkon: 1300 W 
 • rezací nôž: nehrdzavejúca oceľ 
 • prevádzka vpred / späť: áno 
 • nástavec na prípravu kibbe: áno 
 • nástavec na prípravu klobásy / jaternice: áno 
 • napájanie: 230 V~  / 50 Hz 
 • rozmery: 260 x 154 x 304 mm 
 • hmotnosť: 3,4 kg</t>
        </is>
      </c>
    </row>
    <row r="108">
      <c r="A108" s="3" t="inlineStr">
        <is>
          <t>HG HD 1300/PP</t>
        </is>
      </c>
      <c r="B108" s="2" t="inlineStr">
        <is>
          <t>Lis na paradajky k HG HD 1300</t>
        </is>
      </c>
      <c r="C108" s="1" t="n">
        <v>12.99</v>
      </c>
      <c r="D108" s="7" t="n">
        <f>HYPERLINK("https://www.somogyi.sk/product/lis-na-paradajky-k-hg-hd-1300-hg-hd-1300-pp-16642","https://www.somogyi.sk/product/lis-na-paradajky-k-hg-hd-1300-hg-hd-1300-pp-16642")</f>
        <v>0.0</v>
      </c>
      <c r="E108" s="7" t="n">
        <f>HYPERLINK("https://www.somogyi.sk/productimages/product_main_images/small/16642.jpg","https://www.somogyi.sk/productimages/product_main_images/small/16642.jpg")</f>
        <v>0.0</v>
      </c>
      <c r="F108" s="2" t="inlineStr">
        <is>
          <t>5999084946746</t>
        </is>
      </c>
      <c r="G108" s="4" t="inlineStr">
        <is>
          <t xml:space="preserve"> • rozmery: 190 x 190 x 100 mm</t>
        </is>
      </c>
    </row>
    <row r="109">
      <c r="A109" s="6" t="inlineStr">
        <is>
          <t xml:space="preserve">   Domáce spotrebiče / Hriankovač</t>
        </is>
      </c>
      <c r="B109" s="6" t="inlineStr">
        <is>
          <t/>
        </is>
      </c>
      <c r="C109" s="6" t="inlineStr">
        <is>
          <t/>
        </is>
      </c>
      <c r="D109" s="6" t="inlineStr">
        <is>
          <t/>
        </is>
      </c>
      <c r="E109" s="6" t="inlineStr">
        <is>
          <t/>
        </is>
      </c>
      <c r="F109" s="6" t="inlineStr">
        <is>
          <t/>
        </is>
      </c>
      <c r="G109" s="6" t="inlineStr">
        <is>
          <t/>
        </is>
      </c>
    </row>
    <row r="110">
      <c r="A110" s="3" t="inlineStr">
        <is>
          <t>MT-RP2L09W</t>
        </is>
      </c>
      <c r="B110" s="2" t="inlineStr">
        <is>
          <t>MIDEA hriankovač</t>
        </is>
      </c>
      <c r="C110" s="1" t="n">
        <v>24.99</v>
      </c>
      <c r="D110" s="7" t="n">
        <f>HYPERLINK("https://www.somogyi.sk/product/midea-hriankovac-mt-rp2l09w-17806","https://www.somogyi.sk/product/midea-hriankovac-mt-rp2l09w-17806")</f>
        <v>0.0</v>
      </c>
      <c r="E110" s="7" t="n">
        <f>HYPERLINK("https://www.somogyi.sk/productimages/product_main_images/small/17806.jpg","https://www.somogyi.sk/productimages/product_main_images/small/17806.jpg")</f>
        <v>0.0</v>
      </c>
      <c r="F110" s="2" t="inlineStr">
        <is>
          <t>6939962708485</t>
        </is>
      </c>
      <c r="G110" s="4" t="inlineStr">
        <is>
          <t xml:space="preserve"> • výkon: 800-950 W 
 • počet plátkov: 2 
 • regulovanie pečenia: 6 stupňov 
 • automatické vyhadzovanie plátkov: áno 
 • tlačidlo zastavenia pečenia: áno 
 • studené steny: áno 
 • držiak kábla: áno 
 • napájanie: 220-240 V~ / 50/60 Hz 
 • hmotnosť: 1,4 kg 
 • ďalšie informácie: zarovná chlieb do stredu • zabraňuje zaseknutiu chleba • protišmykové nožičky</t>
        </is>
      </c>
    </row>
    <row r="111">
      <c r="A111" s="3" t="inlineStr">
        <is>
          <t>HG KP 42</t>
        </is>
      </c>
      <c r="B111" s="2" t="inlineStr">
        <is>
          <t>Hriankovač, 1400 W, 4 plátky, cooltouch</t>
        </is>
      </c>
      <c r="C111" s="1" t="n">
        <v>29.99</v>
      </c>
      <c r="D111" s="7" t="n">
        <f>HYPERLINK("https://www.somogyi.sk/product/hriankovac-1400-w-4-platky-cooltouch-hg-kp-42-18199","https://www.somogyi.sk/product/hriankovac-1400-w-4-platky-cooltouch-hg-kp-42-18199")</f>
        <v>0.0</v>
      </c>
      <c r="E111" s="7" t="n">
        <f>HYPERLINK("https://www.somogyi.sk/productimages/product_main_images/small/18199.jpg","https://www.somogyi.sk/productimages/product_main_images/small/18199.jpg")</f>
        <v>0.0</v>
      </c>
      <c r="F111" s="2" t="inlineStr">
        <is>
          <t>5999084962210</t>
        </is>
      </c>
      <c r="G111" s="4" t="inlineStr">
        <is>
          <t xml:space="preserve"> • výkon: 1400 W 
 • regulovanie pečenia: pečenie je možné nastaviť v 7 stupňoch 
 • automatické vyhadzovanie plátkov: áno 
 • tlačidlo zastavenia pečenia: tlačidlo CANCEL na zrušenie opekania 
 • napájanie: 220-240 V~ / 50/60 Hz 
 • rozmery: 38,2 x 14,4 x 17,2 cm 
 •  
 • charakteristiky: inteligentné opekanie 
 • ďalšie informácie: automatické zarovnanie na stred • ochrana proti zaseknutiu chleba</t>
        </is>
      </c>
    </row>
    <row r="112">
      <c r="A112" s="3" t="inlineStr">
        <is>
          <t>HG KP 01</t>
        </is>
      </c>
      <c r="B112" s="2" t="inlineStr">
        <is>
          <t>Hriankovač, 750 W, 2 plátky, cooltouch</t>
        </is>
      </c>
      <c r="C112" s="1" t="n">
        <v>17.49</v>
      </c>
      <c r="D112" s="7" t="n">
        <f>HYPERLINK("https://www.somogyi.sk/product/hriankovac-750-w-2-platky-cooltouch-hg-kp-01-14966","https://www.somogyi.sk/product/hriankovac-750-w-2-platky-cooltouch-hg-kp-01-14966")</f>
        <v>0.0</v>
      </c>
      <c r="E112" s="7" t="n">
        <f>HYPERLINK("https://www.somogyi.sk/productimages/product_main_images/small/14966.jpg","https://www.somogyi.sk/productimages/product_main_images/small/14966.jpg")</f>
        <v>0.0</v>
      </c>
      <c r="F112" s="2" t="inlineStr">
        <is>
          <t>5999084930004</t>
        </is>
      </c>
      <c r="G112" s="4" t="inlineStr">
        <is>
          <t xml:space="preserve"> • farba: biela 
 • výkon: 750 W 
 • počet plátkov: 2 
 • platne na pečenie: 2 dlhé 
 • regulovanie pečenia: plynulé 
 • automatické vyhadzovanie plátkov: áno 
 • tlačidlo zastavenia pečenia: áno 
 • tácka na omrvinky: otvárateľná 
 • studené steny: áno 
 • držiak kábla: - 
 • napájanie: 230 V~ / 50 Hz 
 • rozmery: 23 x 15,5  x 14,5 cm 
 • hmotnosť: 0,8 kg</t>
        </is>
      </c>
    </row>
    <row r="113">
      <c r="A113" s="3" t="inlineStr">
        <is>
          <t>T-214 O</t>
        </is>
      </c>
      <c r="B113" s="2" t="inlineStr">
        <is>
          <t>Hriankovač, oranžová</t>
        </is>
      </c>
      <c r="C113" s="1" t="n">
        <v>19.49</v>
      </c>
      <c r="D113" s="7" t="n">
        <f>HYPERLINK("https://www.somogyi.sk/product/hriankovac-oranzova-t-214-o-14702","https://www.somogyi.sk/product/hriankovac-oranzova-t-214-o-14702")</f>
        <v>0.0</v>
      </c>
      <c r="E113" s="7" t="n">
        <f>HYPERLINK("https://www.somogyi.sk/productimages/product_main_images/small/14702.jpg","https://www.somogyi.sk/productimages/product_main_images/small/14702.jpg")</f>
        <v>0.0</v>
      </c>
      <c r="F113" s="2" t="inlineStr">
        <is>
          <t>5998777338073</t>
        </is>
      </c>
      <c r="G113" s="4" t="inlineStr">
        <is>
          <t xml:space="preserve"> • farba: oranžová 
 • výkon: 1300 W 
 • počet plátkov: 4 
 • platne na pečenie: 2 dlhé 
 • regulovanie pečenia: plynulé 
 • automatické vyhadzovanie plátkov: áno 
 • tlačidlo zastavenia pečenia: áno 
 • tácka na omrvinky: odstrániteľná 
 • studené steny: áno 
 • držiak kábla: áno 
 • napájanie: 230 V~ / 50 Hz</t>
        </is>
      </c>
    </row>
    <row r="114">
      <c r="A114" s="3" t="inlineStr">
        <is>
          <t>HG KP 22</t>
        </is>
      </c>
      <c r="B114" s="2" t="inlineStr">
        <is>
          <t>Hriankovač, 750 W, 2 plátky, cooltouch</t>
        </is>
      </c>
      <c r="C114" s="1" t="n">
        <v>19.99</v>
      </c>
      <c r="D114" s="7" t="n">
        <f>HYPERLINK("https://www.somogyi.sk/product/hriankovac-750-w-2-platky-cooltouch-hg-kp-22-18258","https://www.somogyi.sk/product/hriankovac-750-w-2-platky-cooltouch-hg-kp-22-18258")</f>
        <v>0.0</v>
      </c>
      <c r="E114" s="7" t="n">
        <f>HYPERLINK("https://www.somogyi.sk/productimages/product_main_images/small/18258.jpg","https://www.somogyi.sk/productimages/product_main_images/small/18258.jpg")</f>
        <v>0.0</v>
      </c>
      <c r="F114" s="2" t="inlineStr">
        <is>
          <t>5999084962807</t>
        </is>
      </c>
      <c r="G114" s="4" t="inlineStr">
        <is>
          <t xml:space="preserve"> • výkon: 750 W 
 • regulovanie pečenia: pečenie je možné nastaviť v 7 stupňoch 
 • automatické vyhadzovanie plátkov: áno 
 • tlačidlo zastavenia pečenia: tlačidlo CANCEL na zrušenie opekania 
 • napájanie: 220-240 V~ / 50/60 Hz 
 • rozmery: 26 x 14,4 x 17,2 cm 
 •  
 • charakteristiky: inteligentné opekanie 
 • ďalšie informácie: automatické zarovnanie na stred • ochrana proti zaseknutiu chleba</t>
        </is>
      </c>
    </row>
    <row r="115">
      <c r="A115" s="6" t="inlineStr">
        <is>
          <t xml:space="preserve">   Domáce spotrebiče / Kuchynská váha</t>
        </is>
      </c>
      <c r="B115" s="6" t="inlineStr">
        <is>
          <t/>
        </is>
      </c>
      <c r="C115" s="6" t="inlineStr">
        <is>
          <t/>
        </is>
      </c>
      <c r="D115" s="6" t="inlineStr">
        <is>
          <t/>
        </is>
      </c>
      <c r="E115" s="6" t="inlineStr">
        <is>
          <t/>
        </is>
      </c>
      <c r="F115" s="6" t="inlineStr">
        <is>
          <t/>
        </is>
      </c>
      <c r="G115" s="6" t="inlineStr">
        <is>
          <t/>
        </is>
      </c>
    </row>
    <row r="116">
      <c r="A116" s="3" t="inlineStr">
        <is>
          <t>HG M 05</t>
        </is>
      </c>
      <c r="B116" s="2" t="inlineStr">
        <is>
          <t>Kuchynská váha, 5 kg</t>
        </is>
      </c>
      <c r="C116" s="1" t="n">
        <v>10.99</v>
      </c>
      <c r="D116" s="7" t="n">
        <f>HYPERLINK("https://www.somogyi.sk/product/kuchynska-vaha-5-kg-hg-m-05-16639","https://www.somogyi.sk/product/kuchynska-vaha-5-kg-hg-m-05-16639")</f>
        <v>0.0</v>
      </c>
      <c r="E116" s="7" t="n">
        <f>HYPERLINK("https://www.somogyi.sk/productimages/product_main_images/small/16639.jpg","https://www.somogyi.sk/productimages/product_main_images/small/16639.jpg")</f>
        <v>0.0</v>
      </c>
      <c r="F116" s="2" t="inlineStr">
        <is>
          <t>5999084946715</t>
        </is>
      </c>
      <c r="G116" s="4" t="inlineStr">
        <is>
          <t xml:space="preserve"> • displej: LCD 
 • meracia hranica: 5 kg 
 • presnosť merania: 1 g 
 • funkcia TARE: áno 
 • voliteľná jednotka merania: g/oz, lb; voda ml/cup; mlieko ml/cup 
 • vypnutie: automatický 
 • zobrazenie nízkeho napätia: áno 
 • zobrazenie preťaženia: áno 
 • napájanie: 2 x 1,5 V (AAA) batéria, nie je príslušenstvom</t>
        </is>
      </c>
    </row>
    <row r="117">
      <c r="A117" s="3" t="inlineStr">
        <is>
          <t>HG M 15</t>
        </is>
      </c>
      <c r="B117" s="2" t="inlineStr">
        <is>
          <t>Kuchynská váha</t>
        </is>
      </c>
      <c r="C117" s="1" t="n">
        <v>15.99</v>
      </c>
      <c r="D117" s="7" t="n">
        <f>HYPERLINK("https://www.somogyi.sk/product/kuchynska-vaha-hg-m-15-16640","https://www.somogyi.sk/product/kuchynska-vaha-hg-m-15-16640")</f>
        <v>0.0</v>
      </c>
      <c r="E117" s="7" t="n">
        <f>HYPERLINK("https://www.somogyi.sk/productimages/product_main_images/small/16640.jpg","https://www.somogyi.sk/productimages/product_main_images/small/16640.jpg")</f>
        <v>0.0</v>
      </c>
      <c r="F117" s="2" t="inlineStr">
        <is>
          <t>5999084946722</t>
        </is>
      </c>
      <c r="G117" s="4" t="inlineStr">
        <is>
          <t xml:space="preserve"> • meracia hranica: 15 kg 
 • presnosť merania: 1 g 
 • funkcia TARE: áno 
 • voliteľná jednotka merania: g, kg, lb 
 • vypnutie: automatický 
 • zobrazenie nízkeho napätia: áno 
 • zobrazenie preťaženia: áno 
 • napájanie: 2 x 1,5 V (AAA) batéria, nie je príslušenstvom</t>
        </is>
      </c>
    </row>
    <row r="118">
      <c r="A118" s="6" t="inlineStr">
        <is>
          <t xml:space="preserve">   Domáce spotrebiče / Mikrovlnná rúra, mini rúra</t>
        </is>
      </c>
      <c r="B118" s="6" t="inlineStr">
        <is>
          <t/>
        </is>
      </c>
      <c r="C118" s="6" t="inlineStr">
        <is>
          <t/>
        </is>
      </c>
      <c r="D118" s="6" t="inlineStr">
        <is>
          <t/>
        </is>
      </c>
      <c r="E118" s="6" t="inlineStr">
        <is>
          <t/>
        </is>
      </c>
      <c r="F118" s="6" t="inlineStr">
        <is>
          <t/>
        </is>
      </c>
      <c r="G118" s="6" t="inlineStr">
        <is>
          <t/>
        </is>
      </c>
    </row>
    <row r="119">
      <c r="A119" s="3" t="inlineStr">
        <is>
          <t>MO17E1W</t>
        </is>
      </c>
      <c r="B119" s="2" t="inlineStr">
        <is>
          <t>Mikrovlnná rúra Gorenje, 700 W, 17 l</t>
        </is>
      </c>
      <c r="C119" s="1" t="n">
        <v>87.99</v>
      </c>
      <c r="D119" s="7" t="n">
        <f>HYPERLINK("https://www.somogyi.sk/product/mikrovlnna-rura-gorenje-700-w-17-l-mo17e1w-18298","https://www.somogyi.sk/product/mikrovlnna-rura-gorenje-700-w-17-l-mo17e1w-18298")</f>
        <v>0.0</v>
      </c>
      <c r="E119" s="7" t="n">
        <f>HYPERLINK("https://www.somogyi.sk/productimages/product_main_images/small/18298.jpg","https://www.somogyi.sk/productimages/product_main_images/small/18298.jpg")</f>
        <v>0.0</v>
      </c>
      <c r="F119" s="2" t="inlineStr">
        <is>
          <t>3838782175350</t>
        </is>
      </c>
      <c r="G119" s="4" t="inlineStr">
        <is>
          <t xml:space="preserve"> • výkon: 700 W 
 • objem: 17 l 
 •  
 • napájanie: 230 V~ / 50 Hz 
 • rozmery: 451 x 257 x 343 mm 
 • hmotnosť: 10,6 kg</t>
        </is>
      </c>
    </row>
    <row r="120">
      <c r="A120" s="3" t="inlineStr">
        <is>
          <t>MAM720C2AT (WH)</t>
        </is>
      </c>
      <c r="B120" s="2" t="inlineStr">
        <is>
          <t>MIDEA Mikrovlnná rúra</t>
        </is>
      </c>
      <c r="C120" s="1" t="n">
        <v>106.9</v>
      </c>
      <c r="D120" s="7" t="n">
        <f>HYPERLINK("https://www.somogyi.sk/product/midea-mikrovlnna-rura-mam720c2at-wh-17988","https://www.somogyi.sk/product/midea-mikrovlnna-rura-mam720c2at-wh-17988")</f>
        <v>0.0</v>
      </c>
      <c r="E120" s="7" t="n">
        <f>HYPERLINK("https://www.somogyi.sk/productimages/product_main_images/small/17988.jpg","https://www.somogyi.sk/productimages/product_main_images/small/17988.jpg")</f>
        <v>0.0</v>
      </c>
      <c r="F120" s="2" t="inlineStr">
        <is>
          <t>6944271669914</t>
        </is>
      </c>
      <c r="G120" s="4" t="inlineStr">
        <is>
          <t xml:space="preserve"> • výkon: max. 700 W 
 • objem: 20 l 
 • časovač: max. nastaviteľný čas: 95 min 
 • otočný podnos: áno 
 • napájanie: 230 V~ / 50 Hz 
 • rozmery: 440 x 346 x 259 mm 
 • hmotnosť: 10,25 kg</t>
        </is>
      </c>
    </row>
    <row r="121">
      <c r="A121" s="3" t="inlineStr">
        <is>
          <t>HGMH32D</t>
        </is>
      </c>
      <c r="B121" s="2" t="inlineStr">
        <is>
          <t>Mikrovlnná rúra, digitálna, 1000 W, 32 l</t>
        </is>
      </c>
      <c r="C121" s="1" t="n">
        <v>118.9</v>
      </c>
      <c r="D121" s="7" t="n">
        <f>HYPERLINK("https://www.somogyi.sk/product/mikrovlnna-rura-digitalna-1000-w-32-l-hgmh32d-18349","https://www.somogyi.sk/product/mikrovlnna-rura-digitalna-1000-w-32-l-hgmh32d-18349")</f>
        <v>0.0</v>
      </c>
      <c r="E121" s="7" t="n">
        <f>HYPERLINK("https://www.somogyi.sk/productimages/product_main_images/small/18349.jpg","https://www.somogyi.sk/productimages/product_main_images/small/18349.jpg")</f>
        <v>0.0</v>
      </c>
      <c r="F121" s="2" t="inlineStr">
        <is>
          <t>5999084963675</t>
        </is>
      </c>
      <c r="G121" s="4" t="inlineStr">
        <is>
          <t xml:space="preserve"> • 32 l kapacita 
 • Ø315 mm sklenený podnos 
 • mikrovlnný výkon: 1000 W 
 • maľované sivé vnútro s bielym LED osvetlením 
 • digitálne ovládanie 
 • rozmrazovanie podľa hmotnosti alebo času 
 • 95 minútový časovač 
 • 5 stupňov mikrovlnného výkonu 
 • 8 automatických programov 
 • viacstupňové varenie 
 • detská zámka 
 • napájanie: 230 V~/50 Hz/1500 W 
 • rozmery: 523 x 300 x 418 mm 
 • netto hmotnosť: 14,53 kg</t>
        </is>
      </c>
    </row>
    <row r="122">
      <c r="A122" s="3" t="inlineStr">
        <is>
          <t>HG MH 21</t>
        </is>
      </c>
      <c r="B122" s="2" t="inlineStr">
        <is>
          <t>Mikrovlnná rúra, 700 W</t>
        </is>
      </c>
      <c r="C122" s="1" t="n">
        <v>75.99</v>
      </c>
      <c r="D122" s="7" t="n">
        <f>HYPERLINK("https://www.somogyi.sk/product/mikrovlnna-rura-700-w-hg-mh-21-15973","https://www.somogyi.sk/product/mikrovlnna-rura-700-w-hg-mh-21-15973")</f>
        <v>0.0</v>
      </c>
      <c r="E122" s="7" t="n">
        <f>HYPERLINK("https://www.somogyi.sk/productimages/product_main_images/small/15973.jpg","https://www.somogyi.sk/productimages/product_main_images/small/15973.jpg")</f>
        <v>0.0</v>
      </c>
      <c r="F122" s="2" t="inlineStr">
        <is>
          <t>5999084940072</t>
        </is>
      </c>
      <c r="G122" s="4" t="inlineStr">
        <is>
          <t xml:space="preserve"> • výkon: 700 W 
 • objem: 20 l 
 • typy prevádzok: mikrovlny v 5 stupňoch 
 • časovač: 35 minútový, mechanický 
 • otočný podnos: áno 
 • napájanie: 230 V~ / 50 Hz 
 • rozmery: 44 x 25,9 x 35,8 cm 
 • hmotnosť: 10,3 kg</t>
        </is>
      </c>
    </row>
    <row r="123">
      <c r="A123" s="3" t="inlineStr">
        <is>
          <t>HG MS 10</t>
        </is>
      </c>
      <c r="B123" s="2" t="inlineStr">
        <is>
          <t>Mini rúra s termostatom, 9 l</t>
        </is>
      </c>
      <c r="C123" s="1" t="n">
        <v>46.99</v>
      </c>
      <c r="D123" s="7" t="n">
        <f>HYPERLINK("https://www.somogyi.sk/product/mini-rura-s-termostatom-9-l-hg-ms-10-17237","https://www.somogyi.sk/product/mini-rura-s-termostatom-9-l-hg-ms-10-17237")</f>
        <v>0.0</v>
      </c>
      <c r="E123" s="7" t="n">
        <f>HYPERLINK("https://www.somogyi.sk/productimages/product_main_images/small/17237.jpg","https://www.somogyi.sk/productimages/product_main_images/small/17237.jpg")</f>
        <v>0.0</v>
      </c>
      <c r="F123" s="2" t="inlineStr">
        <is>
          <t>5999084952617</t>
        </is>
      </c>
      <c r="G123" s="4" t="inlineStr">
        <is>
          <t xml:space="preserve"> • výkon: 1050 W 
 • objem: 9 l 
 • časovač: max. 60 min. časovač 
 • napájanie: 230 V~ / 50 Hz 
 • rozmery: 37,5 x 22,5 x 30,5 cm</t>
        </is>
      </c>
    </row>
    <row r="124">
      <c r="A124" s="3" t="inlineStr">
        <is>
          <t>HGMH19</t>
        </is>
      </c>
      <c r="B124" s="2" t="inlineStr">
        <is>
          <t>Mikrovlnná rúra, 700 W</t>
        </is>
      </c>
      <c r="C124" s="1" t="n">
        <v>72.99</v>
      </c>
      <c r="D124" s="7" t="n">
        <f>HYPERLINK("https://www.somogyi.sk/product/mikrovlnna-rura-700-w-hgmh19-18319","https://www.somogyi.sk/product/mikrovlnna-rura-700-w-hgmh19-18319")</f>
        <v>0.0</v>
      </c>
      <c r="E124" s="7" t="n">
        <f>HYPERLINK("https://www.somogyi.sk/productimages/product_main_images/small/18319.jpg","https://www.somogyi.sk/productimages/product_main_images/small/18319.jpg")</f>
        <v>0.0</v>
      </c>
      <c r="F124" s="2" t="inlineStr">
        <is>
          <t>5999084963378</t>
        </is>
      </c>
      <c r="G124" s="4" t="inlineStr">
        <is>
          <t xml:space="preserve"> • výkon: 700 W 
 • objem: 19 l 
 •  
 • napájanie: 230 V~ / 50 Hz 
 • rozmery: .440 x 259 x 358,5 mm 
 • hmotnosť: 6,6 kg</t>
        </is>
      </c>
    </row>
    <row r="125">
      <c r="A125" s="3" t="inlineStr">
        <is>
          <t>HG MH 23 GR</t>
        </is>
      </c>
      <c r="B125" s="2" t="inlineStr">
        <is>
          <t>Mikrovlnná rúra s grilom</t>
        </is>
      </c>
      <c r="C125" s="1" t="n">
        <v>111.9</v>
      </c>
      <c r="D125" s="7" t="n">
        <f>HYPERLINK("https://www.somogyi.sk/product/mikrovlnna-rura-s-grilom-hg-mh-23-gr-16925","https://www.somogyi.sk/product/mikrovlnna-rura-s-grilom-hg-mh-23-gr-16925")</f>
        <v>0.0</v>
      </c>
      <c r="E125" s="7" t="n">
        <f>HYPERLINK("https://www.somogyi.sk/productimages/product_main_images/small/16925.jpg","https://www.somogyi.sk/productimages/product_main_images/small/16925.jpg")</f>
        <v>0.0</v>
      </c>
      <c r="F125" s="2" t="inlineStr">
        <is>
          <t>5999084949570</t>
        </is>
      </c>
      <c r="G125" s="4" t="inlineStr">
        <is>
          <t xml:space="preserve"> • výkon: 800 W mikrovlnný výkon, 1000 W grilovací výkon 
 • objem: 23 l 
 • časovač: nastaviteľný prevádzkový čas od 5 sekúnd do 95 minút 
 • otočný podnos: áno 
 • napájanie: 230 V~ / 50 Hz 
 • rozmery: 485 mm x 293 mm x 405 mm 
 • hmotnosť: 14 kg</t>
        </is>
      </c>
    </row>
    <row r="126">
      <c r="A126" s="6" t="inlineStr">
        <is>
          <t xml:space="preserve">   Domáce spotrebiče / Mixér</t>
        </is>
      </c>
      <c r="B126" s="6" t="inlineStr">
        <is>
          <t/>
        </is>
      </c>
      <c r="C126" s="6" t="inlineStr">
        <is>
          <t/>
        </is>
      </c>
      <c r="D126" s="6" t="inlineStr">
        <is>
          <t/>
        </is>
      </c>
      <c r="E126" s="6" t="inlineStr">
        <is>
          <t/>
        </is>
      </c>
      <c r="F126" s="6" t="inlineStr">
        <is>
          <t/>
        </is>
      </c>
      <c r="G126" s="6" t="inlineStr">
        <is>
          <t/>
        </is>
      </c>
    </row>
    <row r="127">
      <c r="A127" s="3" t="inlineStr">
        <is>
          <t>HG KM 18</t>
        </is>
      </c>
      <c r="B127" s="2" t="inlineStr">
        <is>
          <t>Ručný mixér, 250 W, 5 rýchlostí</t>
        </is>
      </c>
      <c r="C127" s="1" t="n">
        <v>21.99</v>
      </c>
      <c r="D127" s="7" t="n">
        <f>HYPERLINK("https://www.somogyi.sk/product/rucny-mixer-250-w-5-rychlosti-hg-km-18-16592","https://www.somogyi.sk/product/rucny-mixer-250-w-5-rychlosti-hg-km-18-16592")</f>
        <v>0.0</v>
      </c>
      <c r="E127" s="7" t="n">
        <f>HYPERLINK("https://www.somogyi.sk/productimages/product_main_images/small/16592.jpg","https://www.somogyi.sk/productimages/product_main_images/small/16592.jpg")</f>
        <v>0.0</v>
      </c>
      <c r="F127" s="2" t="inlineStr">
        <is>
          <t>5999084946241</t>
        </is>
      </c>
      <c r="G127" s="4" t="inlineStr">
        <is>
          <t xml:space="preserve"> • výkon: 250 W 
 • rýchlostné stupne: 5   turbo 
 • materiál krytu: plast 
 • napájanie: 230 V~  / 50 Hz</t>
        </is>
      </c>
    </row>
    <row r="128">
      <c r="A128" s="3" t="inlineStr">
        <is>
          <t>BH1001W</t>
        </is>
      </c>
      <c r="B128" s="2" t="inlineStr">
        <is>
          <t>MIDEA Tyčový mixér, 1000 W</t>
        </is>
      </c>
      <c r="C128" s="1" t="n">
        <v>62.99</v>
      </c>
      <c r="D128" s="7" t="n">
        <f>HYPERLINK("https://www.somogyi.sk/product/midea-tycovy-mixer-1000-w-bh1001w-17808","https://www.somogyi.sk/product/midea-tycovy-mixer-1000-w-bh1001w-17808")</f>
        <v>0.0</v>
      </c>
      <c r="E128" s="7" t="n">
        <f>HYPERLINK("https://www.somogyi.sk/productimages/product_main_images/small/17808.jpg","https://www.somogyi.sk/productimages/product_main_images/small/17808.jpg")</f>
        <v>0.0</v>
      </c>
      <c r="F128" s="2" t="inlineStr">
        <is>
          <t>6939962794822</t>
        </is>
      </c>
      <c r="G128" s="4" t="inlineStr">
        <is>
          <t xml:space="preserve"> • výkon: 1000 W 
 •  
 •  
 • napájanie: 230 V~ / 50 Hz 
 • ďalšie informácie: Zariadenie je možné používať len v domácich podmienkach, na spracovanie priemerného množstva potravín.</t>
        </is>
      </c>
    </row>
    <row r="129">
      <c r="A129" s="3" t="inlineStr">
        <is>
          <t>HG BMS 64</t>
        </is>
      </c>
      <c r="B129" s="2" t="inlineStr">
        <is>
          <t>Tyčový mixér, 600 W</t>
        </is>
      </c>
      <c r="C129" s="1" t="n">
        <v>39.99</v>
      </c>
      <c r="D129" s="7" t="n">
        <f>HYPERLINK("https://www.somogyi.sk/product/tycovy-mixer-600-w-hg-bms-64-16419","https://www.somogyi.sk/product/tycovy-mixer-600-w-hg-bms-64-16419")</f>
        <v>0.0</v>
      </c>
      <c r="E129" s="7" t="n">
        <f>HYPERLINK("https://www.somogyi.sk/productimages/product_main_images/small/16419.jpg","https://www.somogyi.sk/productimages/product_main_images/small/16419.jpg")</f>
        <v>0.0</v>
      </c>
      <c r="F129" s="2" t="inlineStr">
        <is>
          <t>5999084944513</t>
        </is>
      </c>
      <c r="G129" s="4" t="inlineStr">
        <is>
          <t xml:space="preserve"> • výkon: 600 W 
 • rýchlostné stupne: 2 
 • nože / šľahací nástavec / hnetací nástavec: nehrdzavejúca oceľ 
 • napájanie: 230 V~</t>
        </is>
      </c>
    </row>
    <row r="130">
      <c r="A130" s="3" t="inlineStr">
        <is>
          <t>HM0293</t>
        </is>
      </c>
      <c r="B130" s="2" t="inlineStr">
        <is>
          <t>MIDEA ručný mixér, 300 W</t>
        </is>
      </c>
      <c r="C130" s="1" t="n">
        <v>36.99</v>
      </c>
      <c r="D130" s="7" t="n">
        <f>HYPERLINK("https://www.somogyi.sk/product/midea-rucny-mixer-300-w-hm0293-17813","https://www.somogyi.sk/product/midea-rucny-mixer-300-w-hm0293-17813")</f>
        <v>0.0</v>
      </c>
      <c r="E130" s="7" t="n">
        <f>HYPERLINK("https://www.somogyi.sk/productimages/product_main_images/small/17813.jpg","https://www.somogyi.sk/productimages/product_main_images/small/17813.jpg")</f>
        <v>0.0</v>
      </c>
      <c r="F130" s="2" t="inlineStr">
        <is>
          <t>6939962756127</t>
        </is>
      </c>
      <c r="G130" s="4" t="inlineStr">
        <is>
          <t xml:space="preserve"> • farba: čierna 
 • výkon: 400 W 
 • rýchlostné stupne: 5   turbo 
 • materiál krytu: plast 
 • napájanie: 220-240 V~ / 50 Hz</t>
        </is>
      </c>
    </row>
    <row r="131">
      <c r="A131" s="3" t="inlineStr">
        <is>
          <t>HG BM 12</t>
        </is>
      </c>
      <c r="B131" s="2" t="inlineStr">
        <is>
          <t>Tyčový mixér, 250 W, 15000 rpm</t>
        </is>
      </c>
      <c r="C131" s="1" t="n">
        <v>15.49</v>
      </c>
      <c r="D131" s="7" t="n">
        <f>HYPERLINK("https://www.somogyi.sk/product/tycovy-mixer-250-w-15000-rpm-hg-bm-12-14974","https://www.somogyi.sk/product/tycovy-mixer-250-w-15000-rpm-hg-bm-12-14974")</f>
        <v>0.0</v>
      </c>
      <c r="E131" s="7" t="n">
        <f>HYPERLINK("https://www.somogyi.sk/productimages/product_main_images/small/14974.jpg","https://www.somogyi.sk/productimages/product_main_images/small/14974.jpg")</f>
        <v>0.0</v>
      </c>
      <c r="F131" s="2" t="inlineStr">
        <is>
          <t>5999084930080</t>
        </is>
      </c>
      <c r="G131" s="4" t="inlineStr">
        <is>
          <t xml:space="preserve"> • farba: biela 
 • výkon: 250 W 
 • rýchlostné stupne: 1  (15.000 / minút) 
 • nože / šľahací nástavec / hnetací nástavec: nerezová oceľ 
 • materiál krytu: ABS 
 • príslušenstvo: odstrániteľný mixovací nástavec 
 • napájanie: 230 V~ / 50 Hz</t>
        </is>
      </c>
    </row>
    <row r="132">
      <c r="A132" s="6" t="inlineStr">
        <is>
          <t xml:space="preserve">   Domáce spotrebiče / Fritéza, elektrická platnička</t>
        </is>
      </c>
      <c r="B132" s="6" t="inlineStr">
        <is>
          <t/>
        </is>
      </c>
      <c r="C132" s="6" t="inlineStr">
        <is>
          <t/>
        </is>
      </c>
      <c r="D132" s="6" t="inlineStr">
        <is>
          <t/>
        </is>
      </c>
      <c r="E132" s="6" t="inlineStr">
        <is>
          <t/>
        </is>
      </c>
      <c r="F132" s="6" t="inlineStr">
        <is>
          <t/>
        </is>
      </c>
      <c r="G132" s="6" t="inlineStr">
        <is>
          <t/>
        </is>
      </c>
    </row>
    <row r="133">
      <c r="A133" s="3" t="inlineStr">
        <is>
          <t>IC-2012</t>
        </is>
      </c>
      <c r="B133" s="2" t="inlineStr">
        <is>
          <t>Indukčný varič</t>
        </is>
      </c>
      <c r="C133" s="1" t="n">
        <v>64.99</v>
      </c>
      <c r="D133" s="7" t="n">
        <f>HYPERLINK("https://www.somogyi.sk/product/indukcny-varic-ic-2012-13006","https://www.somogyi.sk/product/indukcny-varic-ic-2012-13006")</f>
        <v>0.0</v>
      </c>
      <c r="E133" s="7" t="n">
        <f>HYPERLINK("https://www.somogyi.sk/productimages/product_main_images/small/13006.jpg","https://www.somogyi.sk/productimages/product_main_images/small/13006.jpg")</f>
        <v>0.0</v>
      </c>
      <c r="F133" s="2" t="inlineStr">
        <is>
          <t>5998777335553</t>
        </is>
      </c>
      <c r="G133" s="4" t="inlineStr">
        <is>
          <t xml:space="preserve"> • výkon: 2000 W 
 • počet platničiek: 1 
 • displej: LCD 
 • regulácia teploty: 60 - 240 °C (po 20 °C ) 
 • ovládacie prvky: dotykové tlačidlo 
 • ochrana proti prehriatiu: áno 
 • časovač: max. 180 minút 
 • automatické spoznanie nádoby: áno 
 • varná doska: sklo keramická 
 • prevedenie: prenosné 
 • príslušenstvo: - 
 • napájanie: 230 V~ / 50 Hz</t>
        </is>
      </c>
    </row>
    <row r="134">
      <c r="A134" s="3" t="inlineStr">
        <is>
          <t>HG R 03SS</t>
        </is>
      </c>
      <c r="B134" s="2" t="inlineStr">
        <is>
          <t>Prenosná elektrická jednoplatnička, 1 x 1500 W</t>
        </is>
      </c>
      <c r="C134" s="1" t="n">
        <v>22.99</v>
      </c>
      <c r="D134" s="7" t="n">
        <f>HYPERLINK("https://www.somogyi.sk/product/prenosna-elektricka-jednoplatnicka-1-x-1500-w-hg-r-03ss-17905","https://www.somogyi.sk/product/prenosna-elektricka-jednoplatnicka-1-x-1500-w-hg-r-03ss-17905")</f>
        <v>0.0</v>
      </c>
      <c r="E134" s="7" t="n">
        <f>HYPERLINK("https://www.somogyi.sk/productimages/product_main_images/small/17905.jpg","https://www.somogyi.sk/productimages/product_main_images/small/17905.jpg")</f>
        <v>0.0</v>
      </c>
      <c r="F134" s="2" t="inlineStr">
        <is>
          <t>5999084959272</t>
        </is>
      </c>
      <c r="G134" s="4" t="inlineStr">
        <is>
          <t xml:space="preserve"> • výkon: 1500 W 
 • počet platničiek: 1 
 • displej: červená kontrolka vykurovania 
 • regulácia teploty: áno 
 • varná doska: ∅18 cm 
 • prevedenie: prenosný 
 • napájanie: 230 V~ / 50 Hz 
 • dĺžka kábla: ~0,8 m 
 • rozmery: 23 x 8,5 x 25,5 cm 
 • hmotnosť: 1,9 kg</t>
        </is>
      </c>
    </row>
    <row r="135">
      <c r="A135" s="3" t="inlineStr">
        <is>
          <t>HG R 01WH</t>
        </is>
      </c>
      <c r="B135" s="2" t="inlineStr">
        <is>
          <t>Prenosná elektrická jednoplatnička, 1 x 1500 W</t>
        </is>
      </c>
      <c r="C135" s="1" t="n">
        <v>21.99</v>
      </c>
      <c r="D135" s="7" t="n">
        <f>HYPERLINK("https://www.somogyi.sk/product/prenosna-elektricka-jednoplatnicka-1-x-1500-w-hg-r-01wh-17903","https://www.somogyi.sk/product/prenosna-elektricka-jednoplatnicka-1-x-1500-w-hg-r-01wh-17903")</f>
        <v>0.0</v>
      </c>
      <c r="E135" s="7" t="n">
        <f>HYPERLINK("https://www.somogyi.sk/productimages/product_main_images/small/17903.jpg","https://www.somogyi.sk/productimages/product_main_images/small/17903.jpg")</f>
        <v>0.0</v>
      </c>
      <c r="F135" s="2" t="inlineStr">
        <is>
          <t>5999084959258</t>
        </is>
      </c>
      <c r="G135" s="4" t="inlineStr">
        <is>
          <t xml:space="preserve"> • výkon: 1500 W 
 • počet platničiek: 1 
 • ovládacie prvky: regulátor teploty 
 • varná doska: ∅18 cm 
 • napájanie: 230 V~ / 50 Hz 
 • rozmery: 21 x 6,5 x 25,5 cm • (hmotnosť: 1,8 kg)</t>
        </is>
      </c>
    </row>
    <row r="136">
      <c r="A136" s="3" t="inlineStr">
        <is>
          <t>HG R 02WH</t>
        </is>
      </c>
      <c r="B136" s="2" t="inlineStr">
        <is>
          <t>Prenosná elektrická dvojplatnička, 1500   1000 W</t>
        </is>
      </c>
      <c r="C136" s="1" t="n">
        <v>35.99</v>
      </c>
      <c r="D136" s="7" t="n">
        <f>HYPERLINK("https://www.somogyi.sk/product/prenosna-elektricka-dvojplatnicka-1500-1000-w-hg-r-02wh-17904","https://www.somogyi.sk/product/prenosna-elektricka-dvojplatnicka-1500-1000-w-hg-r-02wh-17904")</f>
        <v>0.0</v>
      </c>
      <c r="E136" s="7" t="n">
        <f>HYPERLINK("https://www.somogyi.sk/productimages/product_main_images/small/17904.jpg","https://www.somogyi.sk/productimages/product_main_images/small/17904.jpg")</f>
        <v>0.0</v>
      </c>
      <c r="F136" s="2" t="inlineStr">
        <is>
          <t>5999084959265</t>
        </is>
      </c>
      <c r="G136" s="4" t="inlineStr">
        <is>
          <t xml:space="preserve"> • výkon: 2500 W 
 • počet platničiek: 2 
 • ovládacie prvky: regulátor teploty 
 • varná doska: ∅15 cm (1000 W) a ∅18 cm (1500 W) platne na varenie 
 • napájanie: 230 V~ / 50 Hz 
 • rozmery: 47 x 6,5 x 25,5 cm • (hmotnosť: 3,3 kg)</t>
        </is>
      </c>
    </row>
    <row r="137">
      <c r="A137" s="3" t="inlineStr">
        <is>
          <t>HG R 04SS</t>
        </is>
      </c>
      <c r="B137" s="2" t="inlineStr">
        <is>
          <t>Prenosná elektrická dvojplatnička, 1500 W   1000 W</t>
        </is>
      </c>
      <c r="C137" s="1" t="n">
        <v>35.99</v>
      </c>
      <c r="D137" s="7" t="n">
        <f>HYPERLINK("https://www.somogyi.sk/product/prenosna-elektricka-dvojplatnicka-1500-w-1000-w-hg-r-04ss-17906","https://www.somogyi.sk/product/prenosna-elektricka-dvojplatnicka-1500-w-1000-w-hg-r-04ss-17906")</f>
        <v>0.0</v>
      </c>
      <c r="E137" s="7" t="n">
        <f>HYPERLINK("https://www.somogyi.sk/productimages/product_main_images/small/17906.jpg","https://www.somogyi.sk/productimages/product_main_images/small/17906.jpg")</f>
        <v>0.0</v>
      </c>
      <c r="F137" s="2" t="inlineStr">
        <is>
          <t>5999084959289</t>
        </is>
      </c>
      <c r="G137" s="4" t="inlineStr">
        <is>
          <t xml:space="preserve"> • výkon: 2500 W 
 • počet platničiek: 2 
 • displej: červená kontrolka vykurovania 
 • regulácia teploty: áno 
 • varná doska: ∅15 cm (1000 W) a ∅18 cm (1500 W) 
 • prevedenie: prenosný 
 • napájanie: 230 V~ / 50 Hz 
 • dĺžka kábla: ~0,8 m 
 • rozmery: 47 x 9 x 25,5 cm 
 • hmotnosť: 3,3 kg</t>
        </is>
      </c>
    </row>
    <row r="138">
      <c r="A138" s="3" t="inlineStr">
        <is>
          <t>HG IF 29</t>
        </is>
      </c>
      <c r="B138" s="2" t="inlineStr">
        <is>
          <t>Indukčná varná doska</t>
        </is>
      </c>
      <c r="C138" s="1" t="n">
        <v>49.99</v>
      </c>
      <c r="D138" s="7" t="n">
        <f>HYPERLINK("https://www.somogyi.sk/product/indukcna-varna-doska-hg-if-29-17948","https://www.somogyi.sk/product/indukcna-varna-doska-hg-if-29-17948")</f>
        <v>0.0</v>
      </c>
      <c r="E138" s="7" t="n">
        <f>HYPERLINK("https://www.somogyi.sk/productimages/product_main_images/small/17948.jpg","https://www.somogyi.sk/productimages/product_main_images/small/17948.jpg")</f>
        <v>0.0</v>
      </c>
      <c r="F138" s="2" t="inlineStr">
        <is>
          <t>5999084959708</t>
        </is>
      </c>
      <c r="G138" s="4" t="inlineStr">
        <is>
          <t xml:space="preserve"> • výkon: 2000 W  / po 200 W, nastaviteľný výkon v 10 stupňoch (200 W – 2000 W) / 
 • počet platničiek: 1 
 • displej: LED 
 • regulácia teploty: 60 - 240 °C (po 20 °C) 
 • ovládacie prvky: dotykové tlačidlo 
 • automatické spoznanie nádoby: áno 
 • prevedenie: prenosný 
 • napájanie: 220-240 V~ / 50-60 Hz 
 • rozmery: Ø290 x 64 mm 
 • detská poistka: áno</t>
        </is>
      </c>
    </row>
    <row r="139">
      <c r="A139" s="6" t="inlineStr">
        <is>
          <t xml:space="preserve">   Domáce spotrebiče / Kávovar</t>
        </is>
      </c>
      <c r="B139" s="6" t="inlineStr">
        <is>
          <t/>
        </is>
      </c>
      <c r="C139" s="6" t="inlineStr">
        <is>
          <t/>
        </is>
      </c>
      <c r="D139" s="6" t="inlineStr">
        <is>
          <t/>
        </is>
      </c>
      <c r="E139" s="6" t="inlineStr">
        <is>
          <t/>
        </is>
      </c>
      <c r="F139" s="6" t="inlineStr">
        <is>
          <t/>
        </is>
      </c>
      <c r="G139" s="6" t="inlineStr">
        <is>
          <t/>
        </is>
      </c>
    </row>
    <row r="140">
      <c r="A140" s="3" t="inlineStr">
        <is>
          <t>HG PR 06/K</t>
        </is>
      </c>
      <c r="B140" s="2" t="inlineStr">
        <is>
          <t>Sklenená kanvica pre kávovar, 240 ml</t>
        </is>
      </c>
      <c r="C140" s="1" t="n">
        <v>7.29</v>
      </c>
      <c r="D140" s="7" t="n">
        <f>HYPERLINK("https://www.somogyi.sk/product/sklenena-kanvica-pre-kavovar-240-ml-hg-pr-06-k-15960","https://www.somogyi.sk/product/sklenena-kanvica-pre-kavovar-240-ml-hg-pr-06-k-15960")</f>
        <v>0.0</v>
      </c>
      <c r="E140" s="7" t="n">
        <f>HYPERLINK("https://www.somogyi.sk/productimages/product_main_images/small/15960.jpg","https://www.somogyi.sk/productimages/product_main_images/small/15960.jpg")</f>
        <v>0.0</v>
      </c>
      <c r="F140" s="2" t="inlineStr">
        <is>
          <t>5999084939946</t>
        </is>
      </c>
      <c r="G140" s="4" t="inlineStr">
        <is>
          <t xml:space="preserve"> • kapacita: 4 šálky  (240 ml) 
 • ostatný popis: ku kávovaru HG PR 06</t>
        </is>
      </c>
    </row>
    <row r="141">
      <c r="A141" s="3" t="inlineStr">
        <is>
          <t>HG PR 20</t>
        </is>
      </c>
      <c r="B141" s="2" t="inlineStr">
        <is>
          <t>Espresso kávovar</t>
        </is>
      </c>
      <c r="C141" s="1" t="n">
        <v>106.9</v>
      </c>
      <c r="D141" s="7" t="n">
        <f>HYPERLINK("https://www.somogyi.sk/product/espresso-kavovar-hg-pr-20-17623","https://www.somogyi.sk/product/espresso-kavovar-hg-pr-20-17623")</f>
        <v>0.0</v>
      </c>
      <c r="E141" s="7" t="n">
        <f>HYPERLINK("https://www.somogyi.sk/productimages/product_main_images/small/17623.jpg","https://www.somogyi.sk/productimages/product_main_images/small/17623.jpg")</f>
        <v>0.0</v>
      </c>
      <c r="F141" s="2" t="inlineStr">
        <is>
          <t>5999084956455</t>
        </is>
      </c>
      <c r="G141" s="4" t="inlineStr">
        <is>
          <t xml:space="preserve"> • výkon: 1350 W 
 • kapacita: vhodné na prípravu 1 alebo 2 šálok kávy espresso 
 • typ kávy: espresso, kapuccino 
 • funkcia pary: áno 
 • vyberateľná tácka na odkvapkávanie: áno 
 • ostatný popis: 20 bar tlak ● dotykové tlačidlá ● nehrdzavejúce filtre, 2 rozmery ● ohrievanie šálky ● napeňovač mlieka na prípravu cappuccina ● 1,4 l odstrániteľná nádrž ● odstrániteľná tryska pre napeňovanie ● jednoduché čistenie ● protišmykové nožičky 
 • rozmery: 15,3 x 32,8 x 32 cm 
 • napájanie: 220-240 V~ / 50/60 Hz</t>
        </is>
      </c>
    </row>
    <row r="142">
      <c r="A142" s="3" t="inlineStr">
        <is>
          <t>HG PR 06</t>
        </is>
      </c>
      <c r="B142" s="2" t="inlineStr">
        <is>
          <t>Presso kávovar, 240 ml, 3,5 bar, čierna</t>
        </is>
      </c>
      <c r="C142" s="1" t="n">
        <v>51.99</v>
      </c>
      <c r="D142" s="7" t="n">
        <f>HYPERLINK("https://www.somogyi.sk/product/presso-kavovar-240-ml-3-5-bar-cierna-hg-pr-06-15959","https://www.somogyi.sk/product/presso-kavovar-240-ml-3-5-bar-cierna-hg-pr-06-15959")</f>
        <v>0.0</v>
      </c>
      <c r="E142" s="7" t="n">
        <f>HYPERLINK("https://www.somogyi.sk/productimages/product_main_images/small/15959.jpg","https://www.somogyi.sk/productimages/product_main_images/small/15959.jpg")</f>
        <v>0.0</v>
      </c>
      <c r="F142" s="2" t="inlineStr">
        <is>
          <t>5999084939939</t>
        </is>
      </c>
      <c r="G142" s="4" t="inlineStr">
        <is>
          <t xml:space="preserve"> • výkon: 800 W 
 • kapacita: 4 šálky 
 • typ kávy: presso, kapučíno 
 • funkcia pary: áno 
 • vyberateľná tácka na odkvapkávanie: áno 
 • ochrana proti prehriatiu: áno 
 • ostatný popis: 3,5 bar tlak, protišmykové nožičky, držiak kábla 
 • rozmery: 17 x 32 x 23,5 cm 
 • hmotnosť: 1,8 kg 
 • napájanie: 230 V~</t>
        </is>
      </c>
    </row>
    <row r="143">
      <c r="A143" s="3" t="inlineStr">
        <is>
          <t>CE-923</t>
        </is>
      </c>
      <c r="B143" s="2" t="inlineStr">
        <is>
          <t>Kávovar</t>
        </is>
      </c>
      <c r="C143" s="1" t="n">
        <v>41.99</v>
      </c>
      <c r="D143" s="7" t="n">
        <f>HYPERLINK("https://www.somogyi.sk/product/kavovar-ce-923-11967","https://www.somogyi.sk/product/kavovar-ce-923-11967")</f>
        <v>0.0</v>
      </c>
      <c r="E143" s="7" t="n">
        <f>HYPERLINK("https://www.somogyi.sk/productimages/product_main_images/small/11967.jpg","https://www.somogyi.sk/productimages/product_main_images/small/11967.jpg")</f>
        <v>0.0</v>
      </c>
      <c r="F143" s="2" t="inlineStr">
        <is>
          <t>5998777300551</t>
        </is>
      </c>
      <c r="G143" s="4" t="inlineStr">
        <is>
          <t xml:space="preserve"> • výkon: 750 W 
 • kapacita: 4 šálky 
 • typ kávy: presso káva, kapučíno 
 • funkcia pary: áno 
 • vyberateľná tácka na odkvapkávanie: áno 
 • ochrana proti prehriatiu: áno 
 • ostatný popis: - 
 • napájanie: 230 V~ / 50 Hz</t>
        </is>
      </c>
    </row>
    <row r="144">
      <c r="A144" s="3" t="inlineStr">
        <is>
          <t>MA-D1502AW</t>
        </is>
      </c>
      <c r="B144" s="2" t="inlineStr">
        <is>
          <t>MIDEA Kávovar</t>
        </is>
      </c>
      <c r="C144" s="1" t="n">
        <v>37.99</v>
      </c>
      <c r="D144" s="7" t="n">
        <f>HYPERLINK("https://www.somogyi.sk/product/midea-kavovar-ma-d1502aw-17807","https://www.somogyi.sk/product/midea-kavovar-ma-d1502aw-17807")</f>
        <v>0.0</v>
      </c>
      <c r="E144" s="7" t="n">
        <f>HYPERLINK("https://www.somogyi.sk/productimages/product_main_images/small/17807.jpg","https://www.somogyi.sk/productimages/product_main_images/small/17807.jpg")</f>
        <v>0.0</v>
      </c>
      <c r="F144" s="2" t="inlineStr">
        <is>
          <t>6939962756097</t>
        </is>
      </c>
      <c r="G144" s="4" t="inlineStr">
        <is>
          <t xml:space="preserve"> • výkon: 1000 W 
 • kapacita: 1,25 l kapacita, 10 šálok kávy 
 • rozmery: 26,5 x 17 x 33 cm / hmotnosť: 1,61 kg 
 • hmotnosť: 1,61 kg 
 • napájanie: 220-240 V~ /  50-60 Hz</t>
        </is>
      </c>
    </row>
    <row r="145">
      <c r="A145" s="3" t="inlineStr">
        <is>
          <t>HG KV 06</t>
        </is>
      </c>
      <c r="B145" s="2" t="inlineStr">
        <is>
          <t>Kávovar, 1 l, 8 šálok, biela</t>
        </is>
      </c>
      <c r="C145" s="1" t="n">
        <v>36.99</v>
      </c>
      <c r="D145" s="7" t="n">
        <f>HYPERLINK("https://www.somogyi.sk/product/kavovar-1-l-8-salok-biela-hg-kv-06-14969","https://www.somogyi.sk/product/kavovar-1-l-8-salok-biela-hg-kv-06-14969")</f>
        <v>0.0</v>
      </c>
      <c r="E145" s="7" t="n">
        <f>HYPERLINK("https://www.somogyi.sk/productimages/product_main_images/small/14969.jpg","https://www.somogyi.sk/productimages/product_main_images/small/14969.jpg")</f>
        <v>0.0</v>
      </c>
      <c r="F145" s="2" t="inlineStr">
        <is>
          <t>5999084930035</t>
        </is>
      </c>
      <c r="G145" s="4" t="inlineStr">
        <is>
          <t xml:space="preserve"> • výkon: 800 W 
 • kapacita: 8 šálok 
 • typ kávy: dlhá káva 
 • funkcia pary: nie 
 • vyberateľná tácka na odkvapkávanie: nie 
 • ochrana proti prehriatiu: áno 
 • ostatný popis: ohrievací tanier, ventil sa automaticky zatvorí pri vyberaní výlevky, sklenená výlevka 
 • rozmery: 21 x 28,5 x 16 cm 
 • hmotnosť: 1,25 kg 
 • napájanie: 230 V~ / 50 Hz</t>
        </is>
      </c>
    </row>
    <row r="146">
      <c r="A146" s="6" t="inlineStr">
        <is>
          <t xml:space="preserve">   Domáce spotrebiče / Sendvičovač, waflovač</t>
        </is>
      </c>
      <c r="B146" s="6" t="inlineStr">
        <is>
          <t/>
        </is>
      </c>
      <c r="C146" s="6" t="inlineStr">
        <is>
          <t/>
        </is>
      </c>
      <c r="D146" s="6" t="inlineStr">
        <is>
          <t/>
        </is>
      </c>
      <c r="E146" s="6" t="inlineStr">
        <is>
          <t/>
        </is>
      </c>
      <c r="F146" s="6" t="inlineStr">
        <is>
          <t/>
        </is>
      </c>
      <c r="G146" s="6" t="inlineStr">
        <is>
          <t/>
        </is>
      </c>
    </row>
    <row r="147">
      <c r="A147" s="3" t="inlineStr">
        <is>
          <t>HG SZ 02</t>
        </is>
      </c>
      <c r="B147" s="2" t="inlineStr">
        <is>
          <t>Sendvičovač, 750 W</t>
        </is>
      </c>
      <c r="C147" s="1" t="n">
        <v>15.99</v>
      </c>
      <c r="D147" s="7" t="n">
        <f>HYPERLINK("https://www.somogyi.sk/product/sendvicovac-750-w-hg-sz-02-14967","https://www.somogyi.sk/product/sendvicovac-750-w-hg-sz-02-14967")</f>
        <v>0.0</v>
      </c>
      <c r="E147" s="7" t="n">
        <f>HYPERLINK("https://www.somogyi.sk/productimages/product_main_images/small/14967.jpg","https://www.somogyi.sk/productimages/product_main_images/small/14967.jpg")</f>
        <v>0.0</v>
      </c>
      <c r="F147" s="2" t="inlineStr">
        <is>
          <t>5999084930011</t>
        </is>
      </c>
      <c r="G147" s="4" t="inlineStr">
        <is>
          <t xml:space="preserve"> • výkon: 750 W 
 • funkcia: 2 plátkový 
 • kryt: kovový 
 • ochranná vrstva proti pripáleniu: áno 
 • ochrana proti prehriatiu: áno 
 • ďalšie informácie: kontrolka napätia / pripravený na pečenie, držiak kábla 
 • napájanie: 230 V~ / 50 Hz</t>
        </is>
      </c>
    </row>
    <row r="148">
      <c r="A148" s="3" t="inlineStr">
        <is>
          <t>HG GK 04</t>
        </is>
      </c>
      <c r="B148" s="2" t="inlineStr">
        <is>
          <t>Prístroj na vaflové košíčky, 520 W</t>
        </is>
      </c>
      <c r="C148" s="1" t="n">
        <v>17.49</v>
      </c>
      <c r="D148" s="7" t="n">
        <f>HYPERLINK("https://www.somogyi.sk/product/pristroj-na-vaflove-kosicky-520-w-hg-gk-04-15721","https://www.somogyi.sk/product/pristroj-na-vaflove-kosicky-520-w-hg-gk-04-15721")</f>
        <v>0.0</v>
      </c>
      <c r="E148" s="7" t="n">
        <f>HYPERLINK("https://www.somogyi.sk/productimages/product_main_images/small/15721.jpg","https://www.somogyi.sk/productimages/product_main_images/small/15721.jpg")</f>
        <v>0.0</v>
      </c>
      <c r="F148" s="2" t="inlineStr">
        <is>
          <t>5999084937553</t>
        </is>
      </c>
      <c r="G148" s="4" t="inlineStr">
        <is>
          <t xml:space="preserve"> • výkon: 520 W 
 • funkcia: 4 kusový 
 • kryt: plast 
 • izolačná rukoväť: áno 
 • ochranná vrstva proti pripáleniu: áno 
 • ochrana proti prehriatiu: áno 
 • ďalšie informácie: držiak kábla 
 • rozmery: 16 x 9 x 22 cm 
 • napájanie: 230 V~ / 50 Hz</t>
        </is>
      </c>
    </row>
    <row r="149">
      <c r="A149" s="3" t="inlineStr">
        <is>
          <t>HG BG 30</t>
        </is>
      </c>
      <c r="B149" s="2" t="inlineStr">
        <is>
          <t>Vaflovač, bublinkový</t>
        </is>
      </c>
      <c r="C149" s="1" t="n">
        <v>23.99</v>
      </c>
      <c r="D149" s="7" t="n">
        <f>HYPERLINK("https://www.somogyi.sk/product/vaflovac-bublinkovy-hg-bg-30-17625","https://www.somogyi.sk/product/vaflovac-bublinkovy-hg-bg-30-17625")</f>
        <v>0.0</v>
      </c>
      <c r="E149" s="7" t="n">
        <f>HYPERLINK("https://www.somogyi.sk/productimages/product_main_images/small/17625.jpg","https://www.somogyi.sk/productimages/product_main_images/small/17625.jpg")</f>
        <v>0.0</v>
      </c>
      <c r="F149" s="2" t="inlineStr">
        <is>
          <t>5999084956479</t>
        </is>
      </c>
      <c r="G149" s="4" t="inlineStr">
        <is>
          <t xml:space="preserve"> • výkon: 900 W 
 • kryt: plast 
 • ochranná vrstva proti pripáleniu: áno 
 • ďalšie informácie: kontrolka napätia / pripravený na pečenie • jednoduché čistenie • s držiakom kábla 
 • rozmery: 21 cm x 11 cm x 26 cm 
 • napájanie: 230 V~ / 50 Hz</t>
        </is>
      </c>
    </row>
    <row r="150">
      <c r="A150" s="3" t="inlineStr">
        <is>
          <t>HG P 01</t>
        </is>
      </c>
      <c r="B150" s="2" t="inlineStr">
        <is>
          <t>Panini sendvičovač, 750 W</t>
        </is>
      </c>
      <c r="C150" s="1" t="n">
        <v>18.49</v>
      </c>
      <c r="D150" s="7" t="n">
        <f>HYPERLINK("https://www.somogyi.sk/product/panini-sendvicovac-750-w-hg-p-01-16860","https://www.somogyi.sk/product/panini-sendvicovac-750-w-hg-p-01-16860")</f>
        <v>0.0</v>
      </c>
      <c r="E150" s="7" t="n">
        <f>HYPERLINK("https://www.somogyi.sk/productimages/product_main_images/small/16860.jpg","https://www.somogyi.sk/productimages/product_main_images/small/16860.jpg")</f>
        <v>0.0</v>
      </c>
      <c r="F150" s="2" t="inlineStr">
        <is>
          <t>5999084948924</t>
        </is>
      </c>
      <c r="G150" s="4" t="inlineStr">
        <is>
          <t xml:space="preserve"> • výkon: 750 W 
 • izolačná rukoväť: áno 
 • ochranná vrstva proti pripáleniu: áno 
 • protišmyková podložka: áno 
 • ďalšie informácie: kontrolka napätia / pripravený na pečenie 
 • rozmery: 23 cm x 9 cm x 21 cm 
 • napájanie: 230 V~ / 50 Hz</t>
        </is>
      </c>
    </row>
    <row r="151">
      <c r="A151" s="3" t="inlineStr">
        <is>
          <t>HG GS 21</t>
        </is>
      </c>
      <c r="B151" s="2" t="inlineStr">
        <is>
          <t>Vaflovač, 750 W</t>
        </is>
      </c>
      <c r="C151" s="1" t="n">
        <v>21.99</v>
      </c>
      <c r="D151" s="7" t="n">
        <f>HYPERLINK("https://www.somogyi.sk/product/vaflovac-750-w-hg-gs-21-16578","https://www.somogyi.sk/product/vaflovac-750-w-hg-gs-21-16578")</f>
        <v>0.0</v>
      </c>
      <c r="E151" s="7" t="n">
        <f>HYPERLINK("https://www.somogyi.sk/productimages/product_main_images/small/16578.jpg","https://www.somogyi.sk/productimages/product_main_images/small/16578.jpg")</f>
        <v>0.0</v>
      </c>
      <c r="F151" s="2" t="inlineStr">
        <is>
          <t>5999084946104</t>
        </is>
      </c>
      <c r="G151" s="4" t="inlineStr">
        <is>
          <t xml:space="preserve"> • výkon: 750 W 
 • ochranná vrstva proti pripáleniu: áno 
 • ďalšie informácie: možnosť pripraviť naraz 2 vafle 
 • kontrolky: pod napätím / pripravený na opekanie 
 • rozmery: 22 x 7,5 x 23 cm</t>
        </is>
      </c>
    </row>
    <row r="152">
      <c r="A152" s="6" t="inlineStr">
        <is>
          <t xml:space="preserve">   Domáce spotrebiče / Mixér, mlynček</t>
        </is>
      </c>
      <c r="B152" s="6" t="inlineStr">
        <is>
          <t/>
        </is>
      </c>
      <c r="C152" s="6" t="inlineStr">
        <is>
          <t/>
        </is>
      </c>
      <c r="D152" s="6" t="inlineStr">
        <is>
          <t/>
        </is>
      </c>
      <c r="E152" s="6" t="inlineStr">
        <is>
          <t/>
        </is>
      </c>
      <c r="F152" s="6" t="inlineStr">
        <is>
          <t/>
        </is>
      </c>
      <c r="G152" s="6" t="inlineStr">
        <is>
          <t/>
        </is>
      </c>
    </row>
    <row r="153">
      <c r="A153" s="3" t="inlineStr">
        <is>
          <t>HG KD 75</t>
        </is>
      </c>
      <c r="B153" s="2" t="inlineStr">
        <is>
          <t>Mlynček na kávu, 75 g</t>
        </is>
      </c>
      <c r="C153" s="1" t="n">
        <v>20.99</v>
      </c>
      <c r="D153" s="7" t="n">
        <f>HYPERLINK("https://www.somogyi.sk/product/mlyncek-na-kavu-75-g-hg-kd-75-17063","https://www.somogyi.sk/product/mlyncek-na-kavu-75-g-hg-kd-75-17063")</f>
        <v>0.0</v>
      </c>
      <c r="E153" s="7" t="n">
        <f>HYPERLINK("https://www.somogyi.sk/productimages/product_main_images/small/17063.jpg","https://www.somogyi.sk/productimages/product_main_images/small/17063.jpg")</f>
        <v>0.0</v>
      </c>
      <c r="F153" s="2" t="inlineStr">
        <is>
          <t>5999084950958</t>
        </is>
      </c>
      <c r="G153" s="4" t="inlineStr">
        <is>
          <t xml:space="preserve"> • výkon: 150 W 
 • rýchlostné stupne: 1 
 • nôž: nehrdzavejúca oceľ 
 • napájanie: 230 V~ / 50 Hz 
 • rozmery: Ø10,5 cm x 19 cm 
 • ďalšie informácie: dĺžka kábla: 85 cm</t>
        </is>
      </c>
    </row>
    <row r="154">
      <c r="A154" s="3" t="inlineStr">
        <is>
          <t>BSM600E</t>
        </is>
      </c>
      <c r="B154" s="2" t="inlineStr">
        <is>
          <t>Gorenje smoothie maker</t>
        </is>
      </c>
      <c r="C154" s="1" t="n">
        <v>37.99</v>
      </c>
      <c r="D154" s="7" t="n">
        <f>HYPERLINK("https://www.somogyi.sk/product/gorenje-smoothie-maker-bsm600e-18296","https://www.somogyi.sk/product/gorenje-smoothie-maker-bsm600e-18296")</f>
        <v>0.0</v>
      </c>
      <c r="E154" s="7" t="n">
        <f>HYPERLINK("https://www.somogyi.sk/productimages/product_main_images/small/18296.jpg","https://www.somogyi.sk/productimages/product_main_images/small/18296.jpg")</f>
        <v>0.0</v>
      </c>
      <c r="F154" s="2" t="inlineStr">
        <is>
          <t>3838782512803</t>
        </is>
      </c>
      <c r="G154" s="4" t="inlineStr">
        <is>
          <t xml:space="preserve"> • výkon: 320 W 
 •  
 • príslušenstvo: 2 nádoby sú príslušenstvom 
 • napájanie: 230 V~ / 50 Hz 
 • rozmery: 13 x 40 x 17 cm 
 • hmotnosť: 1,5 kg 
 • farba: inox</t>
        </is>
      </c>
    </row>
    <row r="155">
      <c r="A155" s="3" t="inlineStr">
        <is>
          <t>B800ORAB</t>
        </is>
      </c>
      <c r="B155" s="2" t="inlineStr">
        <is>
          <t>Mixér Gorenje - ORA-ITO design</t>
        </is>
      </c>
      <c r="C155" s="1" t="n">
        <v>69.99</v>
      </c>
      <c r="D155" s="7" t="n">
        <f>HYPERLINK("https://www.somogyi.sk/product/mixer-gorenje-ora-ito-design-b800orab-18293","https://www.somogyi.sk/product/mixer-gorenje-ora-ito-design-b800orab-18293")</f>
        <v>0.0</v>
      </c>
      <c r="E155" s="7" t="n">
        <f>HYPERLINK("https://www.somogyi.sk/productimages/product_main_images/small/18293.jpg","https://www.somogyi.sk/productimages/product_main_images/small/18293.jpg")</f>
        <v>0.0</v>
      </c>
      <c r="F155" s="2" t="inlineStr">
        <is>
          <t>3838782129575</t>
        </is>
      </c>
      <c r="G155" s="4" t="inlineStr">
        <is>
          <t xml:space="preserve"> • výkon: 800 W 
 • rýchlostné stupne: 3 stupne rýchlosti - turbo gomb 
 • kalich: 1,5 l plastová nádoba so stupnicou 
 • napájanie: 230 V~ / 50 Hz 
 • rozmery: 21 x 41,5 x 14 cm 
 • hmotnosť: 2,4 kg 
 • farba: čierna farba</t>
        </is>
      </c>
    </row>
    <row r="156">
      <c r="A156" s="3" t="inlineStr">
        <is>
          <t>SMK150E</t>
        </is>
      </c>
      <c r="B156" s="2" t="inlineStr">
        <is>
          <t>Mlynček na kávu, 40 g</t>
        </is>
      </c>
      <c r="C156" s="1" t="n">
        <v>26.99</v>
      </c>
      <c r="D156" s="7" t="n">
        <f>HYPERLINK("https://www.somogyi.sk/product/mlyncek-na-kavu-40-g-smk150e-18299","https://www.somogyi.sk/product/mlyncek-na-kavu-40-g-smk150e-18299")</f>
        <v>0.0</v>
      </c>
      <c r="E156" s="7" t="n">
        <f>HYPERLINK("https://www.somogyi.sk/productimages/product_main_images/small/18299.jpg","https://www.somogyi.sk/productimages/product_main_images/small/18299.jpg")</f>
        <v>0.0</v>
      </c>
      <c r="F156" s="2" t="inlineStr">
        <is>
          <t>3838782069109</t>
        </is>
      </c>
      <c r="G156" s="4" t="inlineStr">
        <is>
          <t xml:space="preserve"> • výkon: 150 W 
 •  
 • priľnavé podstavce: áno 
 • napájanie: 230 V~ / 50 Hz 
 • rozmery: 8,5 x 21,5 x 10,5 cm 
 • hmotnosť: 0,8 kg 
 • bezpečnostný spínač: áno 
 • ochrana proti prehriatiu: áno</t>
        </is>
      </c>
    </row>
    <row r="157">
      <c r="A157" s="6" t="inlineStr">
        <is>
          <t xml:space="preserve">   Domáce spotrebiče / Univerzálny kuchynský robot</t>
        </is>
      </c>
      <c r="B157" s="6" t="inlineStr">
        <is>
          <t/>
        </is>
      </c>
      <c r="C157" s="6" t="inlineStr">
        <is>
          <t/>
        </is>
      </c>
      <c r="D157" s="6" t="inlineStr">
        <is>
          <t/>
        </is>
      </c>
      <c r="E157" s="6" t="inlineStr">
        <is>
          <t/>
        </is>
      </c>
      <c r="F157" s="6" t="inlineStr">
        <is>
          <t/>
        </is>
      </c>
      <c r="G157" s="6" t="inlineStr">
        <is>
          <t/>
        </is>
      </c>
    </row>
    <row r="158">
      <c r="A158" s="3" t="inlineStr">
        <is>
          <t>MJ-KM6001W</t>
        </is>
      </c>
      <c r="B158" s="2" t="inlineStr">
        <is>
          <t>MIDEA kuchynský robot, 4L, 600W</t>
        </is>
      </c>
      <c r="C158" s="1" t="n">
        <v>100.9</v>
      </c>
      <c r="D158" s="7" t="n">
        <f>HYPERLINK("https://www.somogyi.sk/product/midea-kuchynsky-robot-4l-600w-mj-km6001w-17810","https://www.somogyi.sk/product/midea-kuchynsky-robot-4l-600w-mj-km6001w-17810")</f>
        <v>0.0</v>
      </c>
      <c r="E158" s="7" t="n">
        <f>HYPERLINK("https://www.somogyi.sk/productimages/product_main_images/small/17810.jpg","https://www.somogyi.sk/productimages/product_main_images/small/17810.jpg")</f>
        <v>0.0</v>
      </c>
      <c r="F158" s="2" t="inlineStr">
        <is>
          <t>6939962772325</t>
        </is>
      </c>
      <c r="G158" s="4" t="inlineStr">
        <is>
          <t xml:space="preserve"> • výkon: 600 W 
 • objem: 4 l nerezová miešacia nádoba 
 • regulácia rýchlosti: 6 stupňov 
 •  
 • napájanie: 220-240 V~ / 50 Hz</t>
        </is>
      </c>
    </row>
    <row r="159">
      <c r="A159" s="6" t="inlineStr">
        <is>
          <t xml:space="preserve">   Domáce spotrebiče / Rýchlovarná kanvica</t>
        </is>
      </c>
      <c r="B159" s="6" t="inlineStr">
        <is>
          <t/>
        </is>
      </c>
      <c r="C159" s="6" t="inlineStr">
        <is>
          <t/>
        </is>
      </c>
      <c r="D159" s="6" t="inlineStr">
        <is>
          <t/>
        </is>
      </c>
      <c r="E159" s="6" t="inlineStr">
        <is>
          <t/>
        </is>
      </c>
      <c r="F159" s="6" t="inlineStr">
        <is>
          <t/>
        </is>
      </c>
      <c r="G159" s="6" t="inlineStr">
        <is>
          <t/>
        </is>
      </c>
    </row>
    <row r="160">
      <c r="A160" s="3" t="inlineStr">
        <is>
          <t>MK-17G03A2</t>
        </is>
      </c>
      <c r="B160" s="2" t="inlineStr">
        <is>
          <t>MIDEA rýchlovarná kanvica</t>
        </is>
      </c>
      <c r="C160" s="1" t="n">
        <v>32.99</v>
      </c>
      <c r="D160" s="7" t="n">
        <f>HYPERLINK("https://www.somogyi.sk/product/midea-rychlovarna-kanvica-mk-17g03a2-17803","https://www.somogyi.sk/product/midea-rychlovarna-kanvica-mk-17g03a2-17803")</f>
        <v>0.0</v>
      </c>
      <c r="E160" s="7" t="n">
        <f>HYPERLINK("https://www.somogyi.sk/productimages/product_main_images/small/17803.jpg","https://www.somogyi.sk/productimages/product_main_images/small/17803.jpg")</f>
        <v>0.0</v>
      </c>
      <c r="F160" s="2" t="inlineStr">
        <is>
          <t>6939962764320</t>
        </is>
      </c>
      <c r="G160" s="4" t="inlineStr">
        <is>
          <t xml:space="preserve"> • výkon: 1850 - 2200 W 
 • objem: 1,7 l 
 • otočná o 360°: áno 
 • vypnutie: automatické / manuálne 
 • držiak kábla: áno 
 • napájanie: 230 V~ / 50 Hz</t>
        </is>
      </c>
    </row>
    <row r="161">
      <c r="A161" s="3" t="inlineStr">
        <is>
          <t>MK-15H01A</t>
        </is>
      </c>
      <c r="B161" s="2" t="inlineStr">
        <is>
          <t>MIDEA rýchlovarná kanvica</t>
        </is>
      </c>
      <c r="C161" s="1" t="n">
        <v>35.99</v>
      </c>
      <c r="D161" s="7" t="n">
        <f>HYPERLINK("https://www.somogyi.sk/product/midea-rychlovarna-kanvica-mk-15h01a-17805","https://www.somogyi.sk/product/midea-rychlovarna-kanvica-mk-15h01a-17805")</f>
        <v>0.0</v>
      </c>
      <c r="E161" s="7" t="n">
        <f>HYPERLINK("https://www.somogyi.sk/productimages/product_main_images/small/17805.jpg","https://www.somogyi.sk/productimages/product_main_images/small/17805.jpg")</f>
        <v>0.0</v>
      </c>
      <c r="F161" s="2" t="inlineStr">
        <is>
          <t>6939962757636</t>
        </is>
      </c>
      <c r="G161" s="4" t="inlineStr">
        <is>
          <t xml:space="preserve"> • farba: biela 
 • výkon: 1850 - 2200 W 
 • objem: 1,5 l 
 • otočná o 360°: áno 
 • vypnutie: automatické / manuálne 
 • napájanie: 230 V~ / 50 Hz</t>
        </is>
      </c>
    </row>
    <row r="162">
      <c r="A162" s="3" t="inlineStr">
        <is>
          <t>HG VF 04</t>
        </is>
      </c>
      <c r="B162" s="2" t="inlineStr">
        <is>
          <t>Rýchlovarná kanvica, 1850-2200 W, 1,7 L</t>
        </is>
      </c>
      <c r="C162" s="1" t="n">
        <v>24.99</v>
      </c>
      <c r="D162" s="7" t="n">
        <f>HYPERLINK("https://www.somogyi.sk/product/rychlovarna-kanvica-1850-2200-w-1-7-l-hg-vf-04-15231","https://www.somogyi.sk/product/rychlovarna-kanvica-1850-2200-w-1-7-l-hg-vf-04-15231")</f>
        <v>0.0</v>
      </c>
      <c r="E162" s="7" t="n">
        <f>HYPERLINK("https://www.somogyi.sk/productimages/product_main_images/small/15231.jpg","https://www.somogyi.sk/productimages/product_main_images/small/15231.jpg")</f>
        <v>0.0</v>
      </c>
      <c r="F162" s="2" t="inlineStr">
        <is>
          <t>5999084932657</t>
        </is>
      </c>
      <c r="G162" s="4" t="inlineStr">
        <is>
          <t xml:space="preserve"> • farba: inox 
 • výkon: 2000 W 
 • objem: 1,7 l 
 • skrytá špirála: áno 
 • otočná o 360°: áno 
 • ochrana proti prehriatiu: áno 
 • vypnutie: automatické / manuálne 
 • vodný filter: odstrániteľný 
 • držiak kábla: áno 
 • napájanie: 230 V~ / 50 Hz 
 • rozmery: Ø16 cm x 26 cm x 24 cm 
 • hmotnosť: 0,8 kg</t>
        </is>
      </c>
    </row>
    <row r="163">
      <c r="A163" s="3" t="inlineStr">
        <is>
          <t>JK-813 R</t>
        </is>
      </c>
      <c r="B163" s="2" t="inlineStr">
        <is>
          <t>Rýchlovarná kanvica, červená</t>
        </is>
      </c>
      <c r="C163" s="1" t="n">
        <v>14.49</v>
      </c>
      <c r="D163" s="7" t="n">
        <f>HYPERLINK("https://www.somogyi.sk/product/rychlovarna-kanvica-cervena-jk-813-r-13603","https://www.somogyi.sk/product/rychlovarna-kanvica-cervena-jk-813-r-13603")</f>
        <v>0.0</v>
      </c>
      <c r="E163" s="7" t="n">
        <f>HYPERLINK("https://www.somogyi.sk/productimages/product_main_images/small/13603.jpg","https://www.somogyi.sk/productimages/product_main_images/small/13603.jpg")</f>
        <v>0.0</v>
      </c>
      <c r="F163" s="2" t="inlineStr">
        <is>
          <t>5998777337854</t>
        </is>
      </c>
      <c r="G163" s="4" t="inlineStr">
        <is>
          <t xml:space="preserve"> • farba: červená 
 • výkon: 1000 W 
 • objem: 1 l 
 • skrytá špirála: áno 
 • otočná o 360°: áno 
 • ochrana proti prehriatiu: áno 
 • vypnutie: automatické/manuálne 
 • napájanie: 230 V~ / 50 Hz</t>
        </is>
      </c>
    </row>
    <row r="164">
      <c r="A164" s="3" t="inlineStr">
        <is>
          <t>HG VF 05</t>
        </is>
      </c>
      <c r="B164" s="2" t="inlineStr">
        <is>
          <t>Rýchlovarná kanvica, 2000 W, 1,2 L</t>
        </is>
      </c>
      <c r="C164" s="1" t="n">
        <v>17.49</v>
      </c>
      <c r="D164" s="7" t="n">
        <f>HYPERLINK("https://www.somogyi.sk/product/rychlovarna-kanvica-2000-w-1-2-l-hg-vf-05-17072","https://www.somogyi.sk/product/rychlovarna-kanvica-2000-w-1-2-l-hg-vf-05-17072")</f>
        <v>0.0</v>
      </c>
      <c r="E164" s="7" t="n">
        <f>HYPERLINK("https://www.somogyi.sk/productimages/product_main_images/small/17072.jpg","https://www.somogyi.sk/productimages/product_main_images/small/17072.jpg")</f>
        <v>0.0</v>
      </c>
      <c r="F164" s="2" t="inlineStr">
        <is>
          <t>5999084951047</t>
        </is>
      </c>
      <c r="G164" s="4" t="inlineStr">
        <is>
          <t xml:space="preserve"> • farba: biela/sivá 
 • výkon: 1850 - 2000 W 
 • objem: 1,2 l 
 • skrytá špirála: áno 
 • otočná o 360°: áno 
 • ochrana proti prehriatiu: áno 
 • vypnutie: automatický / manuálny 
 • vodný filter: odstrániteľný 
 • držiak kábla: áno 
 • napájanie: 230 V~ / 50 Hz 
 • rozmery: Ø14 cm x 21 cm x 19,5 cm 
 • hmotnosť: 0,7 kg</t>
        </is>
      </c>
    </row>
    <row r="165">
      <c r="A165" s="6" t="inlineStr">
        <is>
          <t xml:space="preserve">   Domáce spotrebiče / Vysávač</t>
        </is>
      </c>
      <c r="B165" s="6" t="inlineStr">
        <is>
          <t/>
        </is>
      </c>
      <c r="C165" s="6" t="inlineStr">
        <is>
          <t/>
        </is>
      </c>
      <c r="D165" s="6" t="inlineStr">
        <is>
          <t/>
        </is>
      </c>
      <c r="E165" s="6" t="inlineStr">
        <is>
          <t/>
        </is>
      </c>
      <c r="F165" s="6" t="inlineStr">
        <is>
          <t/>
        </is>
      </c>
      <c r="G165" s="6" t="inlineStr">
        <is>
          <t/>
        </is>
      </c>
    </row>
    <row r="166">
      <c r="A166" s="3" t="inlineStr">
        <is>
          <t>DXVA19-4201</t>
        </is>
      </c>
      <c r="B166" s="2" t="inlineStr">
        <is>
          <t>DeWalt vrecko na prach, 23 l - 38 l</t>
        </is>
      </c>
      <c r="C166" s="1" t="n">
        <v>20.99</v>
      </c>
      <c r="D166" s="7" t="n">
        <f>HYPERLINK("https://www.somogyi.sk/product/dewalt-vrecko-na-prach-23-l-38-l-dxva19-4201-18261","https://www.somogyi.sk/product/dewalt-vrecko-na-prach-23-l-38-l-dxva19-4201-18261")</f>
        <v>0.0</v>
      </c>
      <c r="E166" s="7" t="n">
        <f>HYPERLINK("https://www.somogyi.sk/productimages/product_main_images/small/18261.jpg","https://www.somogyi.sk/productimages/product_main_images/small/18261.jpg")</f>
        <v>0.0</v>
      </c>
      <c r="F166" s="2" t="inlineStr">
        <is>
          <t>0810018920012</t>
        </is>
      </c>
      <c r="G166" s="4" t="inlineStr">
        <is>
          <t xml:space="preserve"> • DeWalt vrecko na prach 
 • 23 l -38 l</t>
        </is>
      </c>
    </row>
    <row r="167">
      <c r="A167" s="3" t="inlineStr">
        <is>
          <t>DXVA19-4204</t>
        </is>
      </c>
      <c r="B167" s="2" t="inlineStr">
        <is>
          <t>DeWalt vrecko na prach, 20 l - 30 l</t>
        </is>
      </c>
      <c r="C167" s="1" t="n">
        <v>20.99</v>
      </c>
      <c r="D167" s="7" t="n">
        <f>HYPERLINK("https://www.somogyi.sk/product/dewalt-vrecko-na-prach-20-l-30-l-dxva19-4204-18262","https://www.somogyi.sk/product/dewalt-vrecko-na-prach-20-l-30-l-dxva19-4204-18262")</f>
        <v>0.0</v>
      </c>
      <c r="E167" s="7" t="n">
        <f>HYPERLINK("https://www.somogyi.sk/productimages/product_main_images/small/18262.jpg","https://www.somogyi.sk/productimages/product_main_images/small/18262.jpg")</f>
        <v>0.0</v>
      </c>
      <c r="F167" s="2" t="inlineStr">
        <is>
          <t>6921183097165</t>
        </is>
      </c>
      <c r="G167" s="4" t="inlineStr">
        <is>
          <t xml:space="preserve"> • DeWalt vrecko na prach  
 • 20 l-30 l</t>
        </is>
      </c>
    </row>
    <row r="168">
      <c r="A168" s="3" t="inlineStr">
        <is>
          <t>MVC72FW</t>
        </is>
      </c>
      <c r="B168" s="2" t="inlineStr">
        <is>
          <t>Gorenje ručný vysávač</t>
        </is>
      </c>
      <c r="C168" s="1" t="n">
        <v>47.99</v>
      </c>
      <c r="D168" s="7" t="n">
        <f>HYPERLINK("https://www.somogyi.sk/product/gorenje-rucny-vysavac-mvc72fw-15812","https://www.somogyi.sk/product/gorenje-rucny-vysavac-mvc72fw-15812")</f>
        <v>0.0</v>
      </c>
      <c r="E168" s="7" t="n">
        <f>HYPERLINK("https://www.somogyi.sk/productimages/product_main_images/small/15812.jpg","https://www.somogyi.sk/productimages/product_main_images/small/15812.jpg")</f>
        <v>0.0</v>
      </c>
      <c r="F168" s="2" t="inlineStr">
        <is>
          <t>3838782040542</t>
        </is>
      </c>
      <c r="G168" s="4" t="inlineStr">
        <is>
          <t xml:space="preserve"> • farba: biela 
 • výkon: 55 W 
 • napájanie: LI-ion akumulátor 7,2 V 
 • rozmery: 405 x 115 x 120 mm / 0,7 kg</t>
        </is>
      </c>
    </row>
    <row r="169">
      <c r="A169" s="3" t="inlineStr">
        <is>
          <t>DXV30SAPTA</t>
        </is>
      </c>
      <c r="B169" s="2" t="inlineStr">
        <is>
          <t>DeWalt 30 l, suchý/mokrý vysávač z nehrdzavejúcej ocele</t>
        </is>
      </c>
      <c r="C169" s="1" t="n">
        <v>205.9</v>
      </c>
      <c r="D169" s="7" t="n">
        <f>HYPERLINK("https://www.somogyi.sk/product/dewalt-30-l-suchy-mokry-vysavac-z-nehrdzavejucej-ocele-dxv30sapta-18257","https://www.somogyi.sk/product/dewalt-30-l-suchy-mokry-vysavac-z-nehrdzavejucej-ocele-dxv30sapta-18257")</f>
        <v>0.0</v>
      </c>
      <c r="E169" s="7" t="n">
        <f>HYPERLINK("https://www.somogyi.sk/productimages/product_main_images/small/18257.jpg","https://www.somogyi.sk/productimages/product_main_images/small/18257.jpg")</f>
        <v>0.0</v>
      </c>
      <c r="F169" s="2" t="inlineStr">
        <is>
          <t>6921183087678</t>
        </is>
      </c>
      <c r="G169" s="4" t="inlineStr">
        <is>
          <t xml:space="preserve"> • výkon: 1050 W 
 • N/A: 30 l 
 • N/A: ∅48 mm x 2,1 m 
 • prietok vzduchu: 37,8 l / sek. 
 • sila nasávania: 15 KPa sací výkon (230 V~) 
 • napájanie: 230 V~ / 50 Hz 
 • N/A: 3 m</t>
        </is>
      </c>
    </row>
    <row r="170">
      <c r="A170" s="3" t="inlineStr">
        <is>
          <t>DXV20PTA</t>
        </is>
      </c>
      <c r="B170" s="2" t="inlineStr">
        <is>
          <t>DeWalt 20 l, suchý/mokrý vysávač</t>
        </is>
      </c>
      <c r="C170" s="1" t="n">
        <v>172.9</v>
      </c>
      <c r="D170" s="7" t="n">
        <f>HYPERLINK("https://www.somogyi.sk/product/dewalt-20-l-suchy-mokry-vysavac-dxv20pta-18256","https://www.somogyi.sk/product/dewalt-20-l-suchy-mokry-vysavac-dxv20pta-18256")</f>
        <v>0.0</v>
      </c>
      <c r="E170" s="7" t="n">
        <f>HYPERLINK("https://www.somogyi.sk/productimages/product_main_images/small/18256.jpg","https://www.somogyi.sk/productimages/product_main_images/small/18256.jpg")</f>
        <v>0.0</v>
      </c>
      <c r="F170" s="2" t="inlineStr">
        <is>
          <t>6921183000059</t>
        </is>
      </c>
      <c r="G170" s="4" t="inlineStr">
        <is>
          <t xml:space="preserve"> • výkon: 1050 W 
 • N/A: 20 l 
 • N/A: ∅48 mm x 2,1 m 
 • prietok vzduchu: 37,8 l / sek. 
 • sila nasávania: 15 KPa sací výkon (230 V~) 
 • napájanie: 230 V~ / 50 Hz 
 • N/A: 3 m</t>
        </is>
      </c>
    </row>
    <row r="171">
      <c r="A171" s="3" t="inlineStr">
        <is>
          <t>VCEA11CXWII</t>
        </is>
      </c>
      <c r="B171" s="2" t="inlineStr">
        <is>
          <t>Gorenje vysávač</t>
        </is>
      </c>
      <c r="C171" s="1" t="n">
        <v>72.99</v>
      </c>
      <c r="D171" s="7" t="n">
        <f>HYPERLINK("https://www.somogyi.sk/product/gorenje-vysavac-vcea11cxwii-16739","https://www.somogyi.sk/product/gorenje-vysavac-vcea11cxwii-16739")</f>
        <v>0.0</v>
      </c>
      <c r="E171" s="7" t="n">
        <f>HYPERLINK("https://www.somogyi.sk/productimages/product_main_images/small/16739.jpg","https://www.somogyi.sk/productimages/product_main_images/small/16739.jpg")</f>
        <v>0.0</v>
      </c>
      <c r="F171" s="2" t="inlineStr">
        <is>
          <t>3838782089077</t>
        </is>
      </c>
      <c r="G171" s="4" t="inlineStr">
        <is>
          <t xml:space="preserve"> • výkon: 750 W 
 • objem prachového vrecka: 2 l, papierové vrecko 
 • navijak prívodného kábla: áno 
 • regulácia výkonu: áno 
 • napájanie: 230 V~ 
 • HEPA filter: áno 
 • jemné štartovanie motora: áno 
 • hlučnosť: 78 dB(A) 
 • rozmery: 35 × 21,5 × 26 cm 
 • N/A: 5 m 
 • hmotnosť: 3,3 kg</t>
        </is>
      </c>
    </row>
    <row r="172">
      <c r="A172" s="3" t="inlineStr">
        <is>
          <t>DXV25S</t>
        </is>
      </c>
      <c r="B172" s="2" t="inlineStr">
        <is>
          <t>DeWalt 25 l, suchý/mokrý vysávač z nehrdzavejúcej ocele</t>
        </is>
      </c>
      <c r="C172" s="1" t="n">
        <v>163.9</v>
      </c>
      <c r="D172" s="7" t="n">
        <f>HYPERLINK("https://www.somogyi.sk/product/dewalt-25-l-suchy-mokry-vysavac-z-nehrdzavejucej-ocele-dxv25s-18255","https://www.somogyi.sk/product/dewalt-25-l-suchy-mokry-vysavac-z-nehrdzavejucej-ocele-dxv25s-18255")</f>
        <v>0.0</v>
      </c>
      <c r="E172" s="7" t="n">
        <f>HYPERLINK("https://www.somogyi.sk/productimages/product_main_images/small/18255.jpg","https://www.somogyi.sk/productimages/product_main_images/small/18255.jpg")</f>
        <v>0.0</v>
      </c>
      <c r="F172" s="2" t="inlineStr">
        <is>
          <t>6921183001650</t>
        </is>
      </c>
      <c r="G172" s="4" t="inlineStr">
        <is>
          <t xml:space="preserve"> • výkon: 1050 W 
 • N/A: 25 l 
 • N/A: ∅48 mm x 2,1 m 
 • prietok vzduchu: 37,8 l / sek. 
 • sila nasávania: 15 KPa sací výkon (230 V~) 
 • napájanie: 230 V~ / 50 Hz 
 • N/A: 3 m</t>
        </is>
      </c>
    </row>
    <row r="173">
      <c r="A173" s="3" t="inlineStr">
        <is>
          <t>DXVA19-1300</t>
        </is>
      </c>
      <c r="B173" s="2" t="inlineStr">
        <is>
          <t>DeWalt hlavica vysávača utility, 48 mm</t>
        </is>
      </c>
      <c r="C173" s="1" t="n">
        <v>9.99</v>
      </c>
      <c r="D173" s="7" t="n">
        <f>HYPERLINK("https://www.somogyi.sk/product/dewalt-hlavica-vysavaca-utility-48-mm-dxva19-1300-18269","https://www.somogyi.sk/product/dewalt-hlavica-vysavaca-utility-48-mm-dxva19-1300-18269")</f>
        <v>0.0</v>
      </c>
      <c r="E173" s="7" t="n">
        <f>HYPERLINK("https://www.somogyi.sk/productimages/product_main_images/small/18269.jpg","https://www.somogyi.sk/productimages/product_main_images/small/18269.jpg")</f>
        <v>0.0</v>
      </c>
      <c r="F173" s="2" t="inlineStr">
        <is>
          <t>6921183097318</t>
        </is>
      </c>
      <c r="G173" s="4" t="inlineStr">
        <is>
          <t xml:space="preserve"> • DeWalt hlavica vysávača 
 • utility 
 • 48 mm</t>
        </is>
      </c>
    </row>
    <row r="174">
      <c r="A174" s="3" t="inlineStr">
        <is>
          <t>DXVA19-1900D</t>
        </is>
      </c>
      <c r="B174" s="2" t="inlineStr">
        <is>
          <t>DeWalt hlavica vysávača na čistenie podlahy, 48 mm</t>
        </is>
      </c>
      <c r="C174" s="1" t="n">
        <v>14.99</v>
      </c>
      <c r="D174" s="7" t="n">
        <f>HYPERLINK("https://www.somogyi.sk/product/dewalt-hlavica-vysavaca-na-cistenie-podlahy-48-mm-dxva19-1900d-18267","https://www.somogyi.sk/product/dewalt-hlavica-vysavaca-na-cistenie-podlahy-48-mm-dxva19-1900d-18267")</f>
        <v>0.0</v>
      </c>
      <c r="E174" s="7" t="n">
        <f>HYPERLINK("https://www.somogyi.sk/productimages/product_main_images/small/18267.jpg","https://www.somogyi.sk/productimages/product_main_images/small/18267.jpg")</f>
        <v>0.0</v>
      </c>
      <c r="F174" s="2" t="inlineStr">
        <is>
          <t>6921183097356</t>
        </is>
      </c>
      <c r="G174" s="4" t="inlineStr">
        <is>
          <t xml:space="preserve"> • DeWalt hlavica vysávača 
 • podlahová 
 • 48 mm</t>
        </is>
      </c>
    </row>
    <row r="175">
      <c r="A175" s="3" t="inlineStr">
        <is>
          <t>DXVA19-1400</t>
        </is>
      </c>
      <c r="B175" s="2" t="inlineStr">
        <is>
          <t>DeWalt hlavica vysávača, medzerová sacia hlavica, 48 mm</t>
        </is>
      </c>
      <c r="C175" s="1" t="n">
        <v>14.99</v>
      </c>
      <c r="D175" s="7" t="n">
        <f>HYPERLINK("https://www.somogyi.sk/product/dewalt-hlavica-vysavaca-medzerova-sacia-hlavica-48-mm-dxva19-1400-18266","https://www.somogyi.sk/product/dewalt-hlavica-vysavaca-medzerova-sacia-hlavica-48-mm-dxva19-1400-18266")</f>
        <v>0.0</v>
      </c>
      <c r="E175" s="7" t="n">
        <f>HYPERLINK("https://www.somogyi.sk/productimages/product_main_images/small/18266.jpg","https://www.somogyi.sk/productimages/product_main_images/small/18266.jpg")</f>
        <v>0.0</v>
      </c>
      <c r="F175" s="2" t="inlineStr">
        <is>
          <t>6921183097332</t>
        </is>
      </c>
      <c r="G175" s="4" t="inlineStr">
        <is>
          <t xml:space="preserve"> • DeWalt hlavica vysávača 
 • štrbinová 
 • 48 mm</t>
        </is>
      </c>
    </row>
    <row r="176">
      <c r="A176" s="3" t="inlineStr">
        <is>
          <t>DXVA19-2400</t>
        </is>
      </c>
      <c r="B176" s="2" t="inlineStr">
        <is>
          <t>DeWalt hlavica vysávača, okrúhla kefa, 48 mm</t>
        </is>
      </c>
      <c r="C176" s="1" t="n">
        <v>9.99</v>
      </c>
      <c r="D176" s="7" t="n">
        <f>HYPERLINK("https://www.somogyi.sk/product/dewalt-hlavica-vysavaca-okruhla-kefa-48-mm-dxva19-2400-18265","https://www.somogyi.sk/product/dewalt-hlavica-vysavaca-okruhla-kefa-48-mm-dxva19-2400-18265")</f>
        <v>0.0</v>
      </c>
      <c r="E176" s="7" t="n">
        <f>HYPERLINK("https://www.somogyi.sk/productimages/product_main_images/small/18265.jpg","https://www.somogyi.sk/productimages/product_main_images/small/18265.jpg")</f>
        <v>0.0</v>
      </c>
      <c r="F176" s="2" t="inlineStr">
        <is>
          <t>2221628700204</t>
        </is>
      </c>
      <c r="G176" s="4" t="inlineStr">
        <is>
          <t xml:space="preserve"> • DeWalt hlavica vysávača 
 • okrúhla kefová 
 • 48 mm</t>
        </is>
      </c>
    </row>
    <row r="177">
      <c r="A177" s="3" t="inlineStr">
        <is>
          <t>DXVA19-1202</t>
        </is>
      </c>
      <c r="B177" s="2" t="inlineStr">
        <is>
          <t>DeWalt predlžovacia trubica vysávača, 48 mm</t>
        </is>
      </c>
      <c r="C177" s="1" t="n">
        <v>11.49</v>
      </c>
      <c r="D177" s="7" t="n">
        <f>HYPERLINK("https://www.somogyi.sk/product/dewalt-predlzovacia-trubica-vysavaca-48-mm-dxva19-1202-18264","https://www.somogyi.sk/product/dewalt-predlzovacia-trubica-vysavaca-48-mm-dxva19-1202-18264")</f>
        <v>0.0</v>
      </c>
      <c r="E177" s="7" t="n">
        <f>HYPERLINK("https://www.somogyi.sk/productimages/product_main_images/small/18264.jpg","https://www.somogyi.sk/productimages/product_main_images/small/18264.jpg")</f>
        <v>0.0</v>
      </c>
      <c r="F177" s="2" t="inlineStr">
        <is>
          <t>6921183097264</t>
        </is>
      </c>
      <c r="G177" s="4" t="inlineStr">
        <is>
          <t xml:space="preserve"> • DeWalt predlžovacia trubica 
 • 48 mm</t>
        </is>
      </c>
    </row>
    <row r="178">
      <c r="A178" s="3" t="inlineStr">
        <is>
          <t>DXVA19-2558</t>
        </is>
      </c>
      <c r="B178" s="2" t="inlineStr">
        <is>
          <t>DeWalt hlavica vysávača, hrdlová trubica, 48 mm x 2,1 m</t>
        </is>
      </c>
      <c r="C178" s="1" t="n">
        <v>32.99</v>
      </c>
      <c r="D178" s="7" t="n">
        <f>HYPERLINK("https://www.somogyi.sk/product/dewalt-hlavica-vysavaca-hrdlova-trubica-48-mm-x-2-1-m-dxva19-2558-18263","https://www.somogyi.sk/product/dewalt-hlavica-vysavaca-hrdlova-trubica-48-mm-x-2-1-m-dxva19-2558-18263")</f>
        <v>0.0</v>
      </c>
      <c r="E178" s="7" t="n">
        <f>HYPERLINK("https://www.somogyi.sk/productimages/product_main_images/small/18263.jpg","https://www.somogyi.sk/productimages/product_main_images/small/18263.jpg")</f>
        <v>0.0</v>
      </c>
      <c r="F178" s="2" t="inlineStr">
        <is>
          <t>6921183097219</t>
        </is>
      </c>
      <c r="G178" s="4" t="inlineStr">
        <is>
          <t xml:space="preserve"> • DeWalt hadica vysávača 
 • 48 mm x 2,1 m</t>
        </is>
      </c>
    </row>
    <row r="179">
      <c r="A179" s="3" t="inlineStr">
        <is>
          <t>DXV20P</t>
        </is>
      </c>
      <c r="B179" s="2" t="inlineStr">
        <is>
          <t>DeWalt 20 l, suchý/mokrý vysávač</t>
        </is>
      </c>
      <c r="C179" s="1" t="n">
        <v>143.9</v>
      </c>
      <c r="D179" s="7" t="n">
        <f>HYPERLINK("https://www.somogyi.sk/product/dewalt-20-l-suchy-mokry-vysavac-dxv20p-18254","https://www.somogyi.sk/product/dewalt-20-l-suchy-mokry-vysavac-dxv20p-18254")</f>
        <v>0.0</v>
      </c>
      <c r="E179" s="7" t="n">
        <f>HYPERLINK("https://www.somogyi.sk/productimages/product_main_images/small/18254.jpg","https://www.somogyi.sk/productimages/product_main_images/small/18254.jpg")</f>
        <v>0.0</v>
      </c>
      <c r="F179" s="2" t="inlineStr">
        <is>
          <t>6921183087630</t>
        </is>
      </c>
      <c r="G179" s="4" t="inlineStr">
        <is>
          <t xml:space="preserve"> • výkon: 1050 W 
 • N/A: 20 l 
 • N/A: ∅48 mm x 2,1 m 
 • prietok vzduchu: 37,8 l / sek. 
 • sila nasávania: 15 KPa sací výkon (230 V~) 
 • napájanie: 230 V~ / 50 Hz 
 • N/A: 3 m</t>
        </is>
      </c>
    </row>
    <row r="180">
      <c r="A180" s="3" t="inlineStr">
        <is>
          <t>DXVC4001</t>
        </is>
      </c>
      <c r="B180" s="2" t="inlineStr">
        <is>
          <t>DeWalt filter, klasický</t>
        </is>
      </c>
      <c r="C180" s="1" t="n">
        <v>26.99</v>
      </c>
      <c r="D180" s="7" t="n">
        <f>HYPERLINK("https://www.somogyi.sk/product/dewalt-filter-klasicky-dxvc4001-18260","https://www.somogyi.sk/product/dewalt-filter-klasicky-dxvc4001-18260")</f>
        <v>0.0</v>
      </c>
      <c r="E180" s="7" t="n">
        <f>HYPERLINK("https://www.somogyi.sk/productimages/product_main_images/small/18260.jpg","https://www.somogyi.sk/productimages/product_main_images/small/18260.jpg")</f>
        <v>0.0</v>
      </c>
      <c r="F180" s="2" t="inlineStr">
        <is>
          <t>6921183097080</t>
        </is>
      </c>
      <c r="G180" s="4" t="inlineStr">
        <is>
          <t xml:space="preserve"> • DeWalt filter, klasický</t>
        </is>
      </c>
    </row>
    <row r="181">
      <c r="A181" s="3" t="inlineStr">
        <is>
          <t>SC 1200 W</t>
        </is>
      </c>
      <c r="B181" s="2" t="inlineStr">
        <is>
          <t>Gorenje parný čistič</t>
        </is>
      </c>
      <c r="C181" s="1" t="n">
        <v>87.99</v>
      </c>
      <c r="D181" s="7" t="n">
        <f>HYPERLINK("https://www.somogyi.sk/product/gorenje-parny-cistic-sc-1200-w-17662","https://www.somogyi.sk/product/gorenje-parny-cistic-sc-1200-w-17662")</f>
        <v>0.0</v>
      </c>
      <c r="E181" s="7" t="n">
        <f>HYPERLINK("https://www.somogyi.sk/productimages/product_main_images/small/17662.jpg","https://www.somogyi.sk/productimages/product_main_images/small/17662.jpg")</f>
        <v>0.0</v>
      </c>
      <c r="F181" s="2" t="inlineStr">
        <is>
          <t>3838782466045</t>
        </is>
      </c>
      <c r="G181" s="4" t="inlineStr">
        <is>
          <t xml:space="preserve"> • farba: biela 
 • výkon: 1200 W 
 • regulácia výkonu: 2 stupne naparovania 
 • napájanie: 230 V~ / 50 Hz 
 • rozmery: 27,5 x 113 x 15,2 cm 
 • N/A: 5 m 
 • príslušenstvo: 2 x utierka z mikrovlákna</t>
        </is>
      </c>
    </row>
    <row r="182">
      <c r="A182" s="3" t="inlineStr">
        <is>
          <t>DXVA19-5158</t>
        </is>
      </c>
      <c r="B182" s="2" t="inlineStr">
        <is>
          <t>DeWalt sieťové vrecko na uloženie príslušenstva</t>
        </is>
      </c>
      <c r="C182" s="1" t="n">
        <v>5.59</v>
      </c>
      <c r="D182" s="7" t="n">
        <f>HYPERLINK("https://www.somogyi.sk/product/dewalt-sietove-vrecko-na-ulozenie-prislusenstva-dxva19-5158-18268","https://www.somogyi.sk/product/dewalt-sietove-vrecko-na-ulozenie-prislusenstva-dxva19-5158-18268")</f>
        <v>0.0</v>
      </c>
      <c r="E182" s="7" t="n">
        <f>HYPERLINK("https://www.somogyi.sk/productimages/product_main_images/small/18268.jpg","https://www.somogyi.sk/productimages/product_main_images/small/18268.jpg")</f>
        <v>0.0</v>
      </c>
      <c r="F182" s="2" t="inlineStr">
        <is>
          <t>6921183097400</t>
        </is>
      </c>
      <c r="G182" s="4" t="inlineStr">
        <is>
          <t xml:space="preserve"> • DeWalt sieťové vrecko na uloženie príslušenstva</t>
        </is>
      </c>
    </row>
    <row r="183">
      <c r="A183" s="3" t="inlineStr">
        <is>
          <t>SVC144FBK</t>
        </is>
      </c>
      <c r="B183" s="2" t="inlineStr">
        <is>
          <t>Tyčový vysávač Gorenje 2in1</t>
        </is>
      </c>
      <c r="C183" s="1" t="n">
        <v>120.9</v>
      </c>
      <c r="D183" s="7" t="n">
        <f>HYPERLINK("https://www.somogyi.sk/product/tycovy-vysavac-gorenje-2in1-svc144fbk-18294","https://www.somogyi.sk/product/tycovy-vysavac-gorenje-2in1-svc144fbk-18294")</f>
        <v>0.0</v>
      </c>
      <c r="E183" s="7" t="n">
        <f>HYPERLINK("https://www.somogyi.sk/productimages/product_main_images/small/18294.jpg","https://www.somogyi.sk/productimages/product_main_images/small/18294.jpg")</f>
        <v>0.0</v>
      </c>
      <c r="F183" s="2" t="inlineStr">
        <is>
          <t>3838782029400</t>
        </is>
      </c>
      <c r="G183" s="4" t="inlineStr">
        <is>
          <t xml:space="preserve"> • farba: čierna 
 • výkon: 95 W 
 • N/A: 0,6 l 
 • prietok vzduchu: 10,5 l/s 
 • regulácia výkonu: na rukoväti 
 •  
 • jemné štartovanie motora: áno 
 • hlučnosť: 80 dB(A) 
 • rozmery: 26 x 118 x 17 cm 
 • hmotnosť: 3 kg 
 • vlastnosť: vysávač 2v1   ručný vysávač • prevedenie bez vrecka na prach • bezdrôtová prevádzka 
 • N/A: áno</t>
        </is>
      </c>
    </row>
    <row r="184">
      <c r="A184" s="3" t="inlineStr">
        <is>
          <t>VCEA01GACWCY</t>
        </is>
      </c>
      <c r="B184" s="2" t="inlineStr">
        <is>
          <t>Vysávač Gorenje, cyklónový, bezsáčkový</t>
        </is>
      </c>
      <c r="C184" s="1" t="n">
        <v>94.99</v>
      </c>
      <c r="D184" s="7" t="n">
        <f>HYPERLINK("https://www.somogyi.sk/product/vysavac-gorenje-cyklonovy-bezsackovy-vcea01gacwcy-18295","https://www.somogyi.sk/product/vysavac-gorenje-cyklonovy-bezsackovy-vcea01gacwcy-18295")</f>
        <v>0.0</v>
      </c>
      <c r="E184" s="7" t="n">
        <f>HYPERLINK("https://www.somogyi.sk/productimages/product_main_images/small/18295.jpg","https://www.somogyi.sk/productimages/product_main_images/small/18295.jpg")</f>
        <v>0.0</v>
      </c>
      <c r="F184" s="2" t="inlineStr">
        <is>
          <t>3838782071232</t>
        </is>
      </c>
      <c r="G184" s="4" t="inlineStr">
        <is>
          <t xml:space="preserve"> • výkon: 700 W 
 • N/A: 2,2 l 
 • navijak prívodného kábla: áno 
 • napájanie: 230 V~ / 50 Hz 
 • jemné štartovanie motora: áno 
 • hlučnosť: 83 dB(A) 
 • rozmery: 36,6 x 27,1 x 26,6 cm 
 • N/A: 5 m 
 • hmotnosť: 5,7 kg</t>
        </is>
      </c>
    </row>
    <row r="185">
      <c r="A185" s="6" t="inlineStr">
        <is>
          <t xml:space="preserve">   Domáce spotrebiče / Žehlička</t>
        </is>
      </c>
      <c r="B185" s="6" t="inlineStr">
        <is>
          <t/>
        </is>
      </c>
      <c r="C185" s="6" t="inlineStr">
        <is>
          <t/>
        </is>
      </c>
      <c r="D185" s="6" t="inlineStr">
        <is>
          <t/>
        </is>
      </c>
      <c r="E185" s="6" t="inlineStr">
        <is>
          <t/>
        </is>
      </c>
      <c r="F185" s="6" t="inlineStr">
        <is>
          <t/>
        </is>
      </c>
      <c r="G185" s="6" t="inlineStr">
        <is>
          <t/>
        </is>
      </c>
    </row>
    <row r="186">
      <c r="A186" s="3" t="inlineStr">
        <is>
          <t>SIH1800TQC</t>
        </is>
      </c>
      <c r="B186" s="2" t="inlineStr">
        <is>
          <t>Parná žehlička, 1800 W</t>
        </is>
      </c>
      <c r="C186" s="1" t="n">
        <v>29.99</v>
      </c>
      <c r="D186" s="7" t="n">
        <f>HYPERLINK("https://www.somogyi.sk/product/parna-zehlicka-1800-w-sih1800tqc-18292","https://www.somogyi.sk/product/parna-zehlicka-1800-w-sih1800tqc-18292")</f>
        <v>0.0</v>
      </c>
      <c r="E186" s="7" t="n">
        <f>HYPERLINK("https://www.somogyi.sk/productimages/product_main_images/small/18292.jpg","https://www.somogyi.sk/productimages/product_main_images/small/18292.jpg")</f>
        <v>0.0</v>
      </c>
      <c r="F186" s="2" t="inlineStr">
        <is>
          <t>3838782404757</t>
        </is>
      </c>
      <c r="G186" s="4" t="inlineStr">
        <is>
          <t xml:space="preserve"> • výkon: 1800 W 
 • naparovacia žehlička: áno 
 • nádrž na vodu: 0,2 l 
 • regulátor teploty: áno 
 • napájanie: 230 V~ / 50 Hz</t>
        </is>
      </c>
    </row>
    <row r="187">
      <c r="A187" s="3" t="inlineStr">
        <is>
          <t>SI-1301</t>
        </is>
      </c>
      <c r="B187" s="2" t="inlineStr">
        <is>
          <t>Žehlička</t>
        </is>
      </c>
      <c r="C187" s="1" t="n">
        <v>12.49</v>
      </c>
      <c r="D187" s="7" t="n">
        <f>HYPERLINK("https://www.somogyi.sk/product/zehlicka-si-1301-11974","https://www.somogyi.sk/product/zehlicka-si-1301-11974")</f>
        <v>0.0</v>
      </c>
      <c r="E187" s="7" t="n">
        <f>HYPERLINK("https://www.somogyi.sk/productimages/product_main_images/small/11974.jpg","https://www.somogyi.sk/productimages/product_main_images/small/11974.jpg")</f>
        <v>0.0</v>
      </c>
      <c r="F187" s="2" t="inlineStr">
        <is>
          <t>5998777335935</t>
        </is>
      </c>
      <c r="G187" s="4" t="inlineStr">
        <is>
          <t xml:space="preserve"> • výkon: 1200 W 
 • suchá žehlička: áno 
 • naparovacia žehlička: nie 
 • žehliaca plocha: nepriľnavá 
 • nádrž na vodu: nie 
 • regulátor teploty: áno 
 • príslušenstvo: - 
 • napájanie: 230 V~ / 50 Hz</t>
        </is>
      </c>
    </row>
    <row r="188">
      <c r="A188" s="3" t="inlineStr">
        <is>
          <t>SIH2200BLC</t>
        </is>
      </c>
      <c r="B188" s="2" t="inlineStr">
        <is>
          <t>Žehlička, 2200 W</t>
        </is>
      </c>
      <c r="C188" s="1" t="n">
        <v>39.99</v>
      </c>
      <c r="D188" s="7" t="n">
        <f>HYPERLINK("https://www.somogyi.sk/product/zehlicka-2200-w-sih2200blc-18030","https://www.somogyi.sk/product/zehlicka-2200-w-sih2200blc-18030")</f>
        <v>0.0</v>
      </c>
      <c r="E188" s="7" t="n">
        <f>HYPERLINK("https://www.somogyi.sk/productimages/product_main_images/small/18030.jpg","https://www.somogyi.sk/productimages/product_main_images/small/18030.jpg")</f>
        <v>0.0</v>
      </c>
      <c r="F188" s="2" t="inlineStr">
        <is>
          <t>3838782404696</t>
        </is>
      </c>
      <c r="G188" s="4" t="inlineStr">
        <is>
          <t xml:space="preserve"> • výkon: 2200 W 
 • suchá žehlička: áno 
 • naparovacia žehlička: áno 
 • žehliaca plocha: keramika 
 • nádrž na vodu: 0,35 l 
 • regulátor teploty: analógová regulácia teploty 
 • napájanie: 230 V~ / 50 Hz 
 • ďalšie informácie: hmotnosť: 1,3 kg</t>
        </is>
      </c>
    </row>
    <row r="189">
      <c r="A189" s="3" t="inlineStr">
        <is>
          <t>HG V 22</t>
        </is>
      </c>
      <c r="B189" s="2" t="inlineStr">
        <is>
          <t>Žehlička s keramickou žehliacou plochou, 2200 W, 160 ml nádoba na vodu</t>
        </is>
      </c>
      <c r="C189" s="1" t="n">
        <v>17.49</v>
      </c>
      <c r="D189" s="7" t="n">
        <f>HYPERLINK("https://www.somogyi.sk/product/zehlicka-s-keramickou-zehliacou-plochou-2200-w-160-ml-nadoba-na-vodu-hg-v-22-17279","https://www.somogyi.sk/product/zehlicka-s-keramickou-zehliacou-plochou-2200-w-160-ml-nadoba-na-vodu-hg-v-22-17279")</f>
        <v>0.0</v>
      </c>
      <c r="E189" s="7" t="n">
        <f>HYPERLINK("https://www.somogyi.sk/productimages/product_main_images/small/17279.jpg","https://www.somogyi.sk/productimages/product_main_images/small/17279.jpg")</f>
        <v>0.0</v>
      </c>
      <c r="F189" s="2" t="inlineStr">
        <is>
          <t>5999084953010</t>
        </is>
      </c>
      <c r="G189" s="4" t="inlineStr">
        <is>
          <t xml:space="preserve"> • výkon: 2200 W 
 • naparovacia žehlička: áno 
 • žehliaca plocha: keramika 
 • nádrž na vodu: 160 ml 
 • regulátor teploty: áno 
 • napájanie: 230 V~ / 50 Hz</t>
        </is>
      </c>
    </row>
    <row r="190">
      <c r="A190" s="6" t="inlineStr">
        <is>
          <t xml:space="preserve">   Domáce spotrebiče / Pekáreň chleba</t>
        </is>
      </c>
      <c r="B190" s="6" t="inlineStr">
        <is>
          <t/>
        </is>
      </c>
      <c r="C190" s="6" t="inlineStr">
        <is>
          <t/>
        </is>
      </c>
      <c r="D190" s="6" t="inlineStr">
        <is>
          <t/>
        </is>
      </c>
      <c r="E190" s="6" t="inlineStr">
        <is>
          <t/>
        </is>
      </c>
      <c r="F190" s="6" t="inlineStr">
        <is>
          <t/>
        </is>
      </c>
      <c r="G190" s="6" t="inlineStr">
        <is>
          <t/>
        </is>
      </c>
    </row>
    <row r="191">
      <c r="A191" s="3" t="inlineStr">
        <is>
          <t>BM910WII</t>
        </is>
      </c>
      <c r="B191" s="2" t="inlineStr">
        <is>
          <t>Gorenje pekáreň chleba</t>
        </is>
      </c>
      <c r="C191" s="1" t="n">
        <v>87.99</v>
      </c>
      <c r="D191" s="7" t="n">
        <f>HYPERLINK("https://www.somogyi.sk/product/gorenje-pekaren-chleba-bm910wii-16738","https://www.somogyi.sk/product/gorenje-pekaren-chleba-bm910wii-16738")</f>
        <v>0.0</v>
      </c>
      <c r="E191" s="7" t="n">
        <f>HYPERLINK("https://www.somogyi.sk/productimages/product_main_images/small/16738.jpg","https://www.somogyi.sk/productimages/product_main_images/small/16738.jpg")</f>
        <v>0.0</v>
      </c>
      <c r="F191" s="2" t="inlineStr">
        <is>
          <t>3838782069758</t>
        </is>
      </c>
      <c r="G191" s="4" t="inlineStr">
        <is>
          <t xml:space="preserve"> • výkon: 550 W 
 • veľkosť chleba: 750 - 900 g 
 • časovač: max. 13 h oneskorené spustenie 
 • funkcie: 1 hnetací nástavec 
 • 3 stupne pečenia 
 • možnosť oneskorenia 
 • funkcia udržiavania tepla 
 • automatické vypnutie 
 • programy: 15 programov 
 • ďalšie informácie: LCD displej s modrým podsvietením 
 • rozmery: 21,8 x 29,7 x 29,2 cm</t>
        </is>
      </c>
    </row>
    <row r="192">
      <c r="A192" s="3" t="inlineStr">
        <is>
          <t>HG KS 900</t>
        </is>
      </c>
      <c r="B192" s="2" t="inlineStr">
        <is>
          <t>Pekáreň chleba, 710 W</t>
        </is>
      </c>
      <c r="C192" s="1" t="n">
        <v>103.9</v>
      </c>
      <c r="D192" s="7" t="n">
        <f>HYPERLINK("https://www.somogyi.sk/product/pekaren-chleba-710-w-hg-ks-900-17949","https://www.somogyi.sk/product/pekaren-chleba-710-w-hg-ks-900-17949")</f>
        <v>0.0</v>
      </c>
      <c r="E192" s="7" t="n">
        <f>HYPERLINK("https://www.somogyi.sk/productimages/product_main_images/small/17949.jpg","https://www.somogyi.sk/productimages/product_main_images/small/17949.jpg")</f>
        <v>0.0</v>
      </c>
      <c r="F192" s="2" t="inlineStr">
        <is>
          <t>5999084959715</t>
        </is>
      </c>
      <c r="G192" s="4" t="inlineStr">
        <is>
          <t xml:space="preserve"> • výkon: 710 W 
 • funkcie: 60 minútová funkcia udržania tepla 
 • programy: 15 programov, napr. rýchle pečenie, bezgluténový, celozrnný program alebo príprava jogurtu 
 • ďalšie informácie: 15 minútová pamäť v prípade výpadku prúdu 
 • rozmery: 280 x 290 x 325 mm</t>
        </is>
      </c>
    </row>
    <row r="193">
      <c r="A193" s="6" t="inlineStr">
        <is>
          <t xml:space="preserve">   Domáce spotrebiče / Kuchynský krájač</t>
        </is>
      </c>
      <c r="B193" s="6" t="inlineStr">
        <is>
          <t/>
        </is>
      </c>
      <c r="C193" s="6" t="inlineStr">
        <is>
          <t/>
        </is>
      </c>
      <c r="D193" s="6" t="inlineStr">
        <is>
          <t/>
        </is>
      </c>
      <c r="E193" s="6" t="inlineStr">
        <is>
          <t/>
        </is>
      </c>
      <c r="F193" s="6" t="inlineStr">
        <is>
          <t/>
        </is>
      </c>
      <c r="G193" s="6" t="inlineStr">
        <is>
          <t/>
        </is>
      </c>
    </row>
    <row r="194">
      <c r="A194" s="3" t="inlineStr">
        <is>
          <t>R506E</t>
        </is>
      </c>
      <c r="B194" s="2" t="inlineStr">
        <is>
          <t>Gorenje kuchynský krájač</t>
        </is>
      </c>
      <c r="C194" s="1" t="n">
        <v>89.99</v>
      </c>
      <c r="D194" s="7" t="n">
        <f>HYPERLINK("https://www.somogyi.sk/product/gorenje-kuchynsky-krajac-r506e-15208","https://www.somogyi.sk/product/gorenje-kuchynsky-krajac-r506e-15208")</f>
        <v>0.0</v>
      </c>
      <c r="E194" s="7" t="n">
        <f>HYPERLINK("https://www.somogyi.sk/productimages/product_main_images/small/15208.jpg","https://www.somogyi.sk/productimages/product_main_images/small/15208.jpg")</f>
        <v>0.0</v>
      </c>
      <c r="F194" s="2" t="inlineStr">
        <is>
          <t>3838942786853</t>
        </is>
      </c>
      <c r="G194" s="4" t="inlineStr">
        <is>
          <t xml:space="preserve"> • výkon: 150 W 
 • nôž: Ø 19 cm 
 • hrúbka krájania: do 15 mm 
 • materiál: nerezová oceľ 
 • hlučnosť: 82 dB 
 • rozmery: 38,2 x 27,2 x 26,2 cm 
 • hmotnosť: 5,2 kg</t>
        </is>
      </c>
    </row>
    <row r="195">
      <c r="A195" s="3" t="inlineStr">
        <is>
          <t>HG SZE 01</t>
        </is>
      </c>
      <c r="B195" s="2" t="inlineStr">
        <is>
          <t>Elektrický krájač</t>
        </is>
      </c>
      <c r="C195" s="1" t="n">
        <v>42.99</v>
      </c>
      <c r="D195" s="7" t="n">
        <f>HYPERLINK("https://www.somogyi.sk/product/elektricky-krajac-hg-sze-01-17062","https://www.somogyi.sk/product/elektricky-krajac-hg-sze-01-17062")</f>
        <v>0.0</v>
      </c>
      <c r="E195" s="7" t="n">
        <f>HYPERLINK("https://www.somogyi.sk/productimages/product_main_images/small/17062.jpg","https://www.somogyi.sk/productimages/product_main_images/small/17062.jpg")</f>
        <v>0.0</v>
      </c>
      <c r="F195" s="2" t="inlineStr">
        <is>
          <t>5999084950941</t>
        </is>
      </c>
      <c r="G195" s="4" t="inlineStr">
        <is>
          <t xml:space="preserve"> • výkon: 150 W 
 •  
 • materiál: kovová / plastová 
 • hlučnosť: N85 dB(A) 
 • hmotnosť: 1,8 kg</t>
        </is>
      </c>
    </row>
    <row r="196">
      <c r="A196" s="6" t="inlineStr">
        <is>
          <t xml:space="preserve">   Domáce spotrebiče / Zavárací automat</t>
        </is>
      </c>
      <c r="B196" s="6" t="inlineStr">
        <is>
          <t/>
        </is>
      </c>
      <c r="C196" s="6" t="inlineStr">
        <is>
          <t/>
        </is>
      </c>
      <c r="D196" s="6" t="inlineStr">
        <is>
          <t/>
        </is>
      </c>
      <c r="E196" s="6" t="inlineStr">
        <is>
          <t/>
        </is>
      </c>
      <c r="F196" s="6" t="inlineStr">
        <is>
          <t/>
        </is>
      </c>
      <c r="G196" s="6" t="inlineStr">
        <is>
          <t/>
        </is>
      </c>
    </row>
    <row r="197">
      <c r="A197" s="3" t="inlineStr">
        <is>
          <t>HG BA 27</t>
        </is>
      </c>
      <c r="B197" s="2" t="inlineStr">
        <is>
          <t>Zavárací hrniec, 1800 W, 27 L</t>
        </is>
      </c>
      <c r="C197" s="1" t="n">
        <v>125.9</v>
      </c>
      <c r="D197" s="7" t="n">
        <f>HYPERLINK("https://www.somogyi.sk/product/zavaraci-hrniec-1800-w-27-l-hg-ba-27-16492","https://www.somogyi.sk/product/zavaraci-hrniec-1800-w-27-l-hg-ba-27-16492")</f>
        <v>0.0</v>
      </c>
      <c r="E197" s="7" t="n">
        <f>HYPERLINK("https://www.somogyi.sk/productimages/product_main_images/small/16492.jpg","https://www.somogyi.sk/productimages/product_main_images/small/16492.jpg")</f>
        <v>0.0</v>
      </c>
      <c r="F197" s="2" t="inlineStr">
        <is>
          <t>5999084945244</t>
        </is>
      </c>
      <c r="G197" s="4" t="inlineStr">
        <is>
          <t xml:space="preserve"> • objem: 27 l 
 • termostat: áno 
 • časovač: časovač vypnutia, max. 120 min. 
 • funkcia: vhodný na sterilizáciu max. 14 ks 1 litrových zaváracích pohárov alebo na ohrievanie, varenie, udržanie teploty max. 27 l tekutiny (napr. čaj, varené víno) 
 • ďalšie informácie: bezkvapkový výpustný kohútik 
 • za- / vypnuteľný 
 • izolované rukoväte 
 • rozmery: 46 x 48 x 43 cm</t>
        </is>
      </c>
    </row>
    <row r="198">
      <c r="A198" s="6" t="inlineStr">
        <is>
          <t xml:space="preserve">   Domáce spotrebiče / Elektrická varná nádoba</t>
        </is>
      </c>
      <c r="B198" s="6" t="inlineStr">
        <is>
          <t/>
        </is>
      </c>
      <c r="C198" s="6" t="inlineStr">
        <is>
          <t/>
        </is>
      </c>
      <c r="D198" s="6" t="inlineStr">
        <is>
          <t/>
        </is>
      </c>
      <c r="E198" s="6" t="inlineStr">
        <is>
          <t/>
        </is>
      </c>
      <c r="F198" s="6" t="inlineStr">
        <is>
          <t/>
        </is>
      </c>
      <c r="G198" s="6" t="inlineStr">
        <is>
          <t/>
        </is>
      </c>
    </row>
    <row r="199">
      <c r="A199" s="3" t="inlineStr">
        <is>
          <t>HG LS 1000</t>
        </is>
      </c>
      <c r="B199" s="2" t="inlineStr">
        <is>
          <t>Pokrievka na pečenie s teplovzdušnou funkciou</t>
        </is>
      </c>
      <c r="C199" s="1" t="n">
        <v>40.99</v>
      </c>
      <c r="D199" s="7" t="n">
        <f>HYPERLINK("https://www.somogyi.sk/product/pokrievka-na-pecenie-s-teplovzdusnou-funkciou-hg-ls-1000-17065","https://www.somogyi.sk/product/pokrievka-na-pecenie-s-teplovzdusnou-funkciou-hg-ls-1000-17065")</f>
        <v>0.0</v>
      </c>
      <c r="E199" s="7" t="n">
        <f>HYPERLINK("https://www.somogyi.sk/productimages/product_main_images/small/17065.jpg","https://www.somogyi.sk/productimages/product_main_images/small/17065.jpg")</f>
        <v>0.0</v>
      </c>
      <c r="F199" s="2" t="inlineStr">
        <is>
          <t>5999084950972</t>
        </is>
      </c>
      <c r="G199" s="4" t="inlineStr">
        <is>
          <t xml:space="preserve"> • výkon: 1000 W 
 •  
 • prevádzková teplota: 45°C - 220°C 
 • kompatibilita: sklenená pokrievka má vhodnú veľkosť pre 6 alebo dokonca 8 litrové elektrické vysokotlakové nádoby 
 • časovač: nastaviteľné trvanie: od 1 minúty (najdlhší nastaviteľný čas varenia 60 minút) 
 • dĺžka napájacieho kábla: 1 m 
 • napájanie: 230 V~ / 50 Hz 
 • hmotnosť: 1,6 kg</t>
        </is>
      </c>
    </row>
    <row r="200">
      <c r="A200" s="3" t="inlineStr">
        <is>
          <t>MAD55005APKH</t>
        </is>
      </c>
      <c r="B200" s="2" t="inlineStr">
        <is>
          <t>MIDEA Air Fryer, 4,6 l, 1500 W, digitálny</t>
        </is>
      </c>
      <c r="C200" s="1" t="n">
        <v>119.9</v>
      </c>
      <c r="D200" s="7" t="n">
        <f>HYPERLINK("https://www.somogyi.sk/product/midea-air-fryer-4-6-l-1500-w-digitalny-mad55005apkh-18320","https://www.somogyi.sk/product/midea-air-fryer-4-6-l-1500-w-digitalny-mad55005apkh-18320")</f>
        <v>0.0</v>
      </c>
      <c r="E200" s="7" t="n">
        <f>HYPERLINK("https://www.somogyi.sk/productimages/product_main_images/small/18320.jpg","https://www.somogyi.sk/productimages/product_main_images/small/18320.jpg")</f>
        <v>0.0</v>
      </c>
      <c r="F200" s="2" t="inlineStr">
        <is>
          <t>6936718304120</t>
        </is>
      </c>
      <c r="G200" s="4" t="inlineStr">
        <is>
          <t xml:space="preserve"> • výkon: 1500 W 
 • prevádzková teplota: max. nastaviteľná teplota 200 °C 
 • napájanie: 230 V~ / 50 Hz</t>
        </is>
      </c>
    </row>
    <row r="201">
      <c r="A201" s="3" t="inlineStr">
        <is>
          <t>MF-TN35D</t>
        </is>
      </c>
      <c r="B201" s="2" t="inlineStr">
        <is>
          <t>MIDEA Air Fryer, 3,5L, 1500W</t>
        </is>
      </c>
      <c r="C201" s="1" t="n">
        <v>81.99</v>
      </c>
      <c r="D201" s="7" t="n">
        <f>HYPERLINK("https://www.somogyi.sk/product/midea-air-fryer-3-5l-1500w-mf-tn35d-17985","https://www.somogyi.sk/product/midea-air-fryer-3-5l-1500w-mf-tn35d-17985")</f>
        <v>0.0</v>
      </c>
      <c r="E201" s="7" t="n">
        <f>HYPERLINK("https://www.somogyi.sk/productimages/product_main_images/small/17985.jpg","https://www.somogyi.sk/productimages/product_main_images/small/17985.jpg")</f>
        <v>0.0</v>
      </c>
      <c r="F201" s="2" t="inlineStr">
        <is>
          <t>6939962794709</t>
        </is>
      </c>
      <c r="G201" s="4" t="inlineStr">
        <is>
          <t xml:space="preserve"> • výkon: 1500 W 
 • objem: 3,5 l kôš na pečenie 
 • prevádzková teplota: nastaviteľná teplota do 200 °C 
 • napájanie: 220-240 V~ / 50 Hz 
 • rozmery: 380 x 275 x 316 mm</t>
        </is>
      </c>
    </row>
    <row r="202">
      <c r="A202" s="3" t="inlineStr">
        <is>
          <t>HG AF 24</t>
        </is>
      </c>
      <c r="B202" s="2" t="inlineStr">
        <is>
          <t>Teplovzdušná fritéza, 2x3.8L, 2460 W</t>
        </is>
      </c>
      <c r="C202" s="1" t="n">
        <v>140.9</v>
      </c>
      <c r="D202" s="7" t="n">
        <f>HYPERLINK("https://www.somogyi.sk/product/teplovzdusna-friteza-2x3-8l-2460-w-hg-af-24-18053","https://www.somogyi.sk/product/teplovzdusna-friteza-2x3-8l-2460-w-hg-af-24-18053")</f>
        <v>0.0</v>
      </c>
      <c r="E202" s="7" t="n">
        <f>HYPERLINK("https://www.somogyi.sk/productimages/product_main_images/small/18053.jpg","https://www.somogyi.sk/productimages/product_main_images/small/18053.jpg")</f>
        <v>0.0</v>
      </c>
      <c r="F202" s="2" t="inlineStr">
        <is>
          <t>5999084960759</t>
        </is>
      </c>
      <c r="G202" s="4" t="inlineStr">
        <is>
          <t xml:space="preserve"> • výkon: 2460 W 
 • objem: max. 7,6 l (2 x 3,8 l) 
 • typy prevádzok: 6 druhov: teplovzdušné pečenie, opekanie, vyprážanie, sušenie, rozmrazovanie, ohrievanie 
 • prevádzková teplota: 40 - 240°C 
 • časovač: 1-240 min. (režim SUŠENIA: 1-12 H) 
 • napájanie: 230 V~ / 50 Hz 
 • rozmery: 39 x 31 x 35 cm</t>
        </is>
      </c>
    </row>
    <row r="203">
      <c r="A203" s="6" t="inlineStr">
        <is>
          <t xml:space="preserve">   Domáce spotrebiče / Napeňovač mlieka</t>
        </is>
      </c>
      <c r="B203" s="6" t="inlineStr">
        <is>
          <t/>
        </is>
      </c>
      <c r="C203" s="6" t="inlineStr">
        <is>
          <t/>
        </is>
      </c>
      <c r="D203" s="6" t="inlineStr">
        <is>
          <t/>
        </is>
      </c>
      <c r="E203" s="6" t="inlineStr">
        <is>
          <t/>
        </is>
      </c>
      <c r="F203" s="6" t="inlineStr">
        <is>
          <t/>
        </is>
      </c>
      <c r="G203" s="6" t="inlineStr">
        <is>
          <t/>
        </is>
      </c>
    </row>
    <row r="204">
      <c r="A204" s="3" t="inlineStr">
        <is>
          <t>HG TH 150</t>
        </is>
      </c>
      <c r="B204" s="2" t="inlineStr">
        <is>
          <t>Peňovač mlieka</t>
        </is>
      </c>
      <c r="C204" s="1" t="n">
        <v>39.99</v>
      </c>
      <c r="D204" s="7" t="n">
        <f>HYPERLINK("https://www.somogyi.sk/product/penovac-mlieka-hg-th-150-17560","https://www.somogyi.sk/product/penovac-mlieka-hg-th-150-17560")</f>
        <v>0.0</v>
      </c>
      <c r="E204" s="7" t="n">
        <f>HYPERLINK("https://www.somogyi.sk/productimages/product_main_images/small/17560.jpg","https://www.somogyi.sk/productimages/product_main_images/small/17560.jpg")</f>
        <v>0.0</v>
      </c>
      <c r="F204" s="2" t="inlineStr">
        <is>
          <t>5999084955823</t>
        </is>
      </c>
      <c r="G204" s="4" t="inlineStr">
        <is>
          <t xml:space="preserve"> • 450-550 W výkon 
 • ovládanie termostatom, príprava teplého mlieka/peny 
 • ohrievavanie mlieka 300 ml, príprava mliečnej peny zo 150 ml mlieka 
 • nehrdzavejúce / plastové prevedenie s dvojitým krytom 
 • nepriľnavá vnútorná plocha 
 • jednoduché čistenie 
 • ohrievanie na 65°C 
 • rozmery: 10 x 20 x 15,5 cm</t>
        </is>
      </c>
    </row>
    <row r="205">
      <c r="A205" s="3" t="inlineStr">
        <is>
          <t>GD 160</t>
        </is>
      </c>
      <c r="B205" s="2" t="inlineStr">
        <is>
          <t>Pedrini napeňovač mlieka, mixér</t>
        </is>
      </c>
      <c r="C205" s="1" t="n">
        <v>15.49</v>
      </c>
      <c r="D205" s="7" t="n">
        <f>HYPERLINK("https://www.somogyi.sk/product/pedrini-napenovac-mlieka-mixer-gd-160-18020","https://www.somogyi.sk/product/pedrini-napenovac-mlieka-mixer-gd-160-18020")</f>
        <v>0.0</v>
      </c>
      <c r="E205" s="7" t="n">
        <f>HYPERLINK("https://www.somogyi.sk/productimages/product_main_images/small/18020.jpg","https://www.somogyi.sk/productimages/product_main_images/small/18020.jpg")</f>
        <v>0.0</v>
      </c>
      <c r="F205" s="2" t="inlineStr">
        <is>
          <t>883336416819</t>
        </is>
      </c>
      <c r="G205" s="4" t="inlineStr">
        <is>
          <t xml:space="preserve"> • materiál: kovový 
 • napájanie: 2 x AA (1,5 V) batéria (nie je príslušenstvom) 
 • ďalšie informácie: 3,5 x 21 x 2,5 cm</t>
        </is>
      </c>
    </row>
    <row r="206">
      <c r="A206" s="6" t="inlineStr">
        <is>
          <t xml:space="preserve">   Domáce spotrebiče / Naparovač odevov</t>
        </is>
      </c>
      <c r="B206" s="6" t="inlineStr">
        <is>
          <t/>
        </is>
      </c>
      <c r="C206" s="6" t="inlineStr">
        <is>
          <t/>
        </is>
      </c>
      <c r="D206" s="6" t="inlineStr">
        <is>
          <t/>
        </is>
      </c>
      <c r="E206" s="6" t="inlineStr">
        <is>
          <t/>
        </is>
      </c>
      <c r="F206" s="6" t="inlineStr">
        <is>
          <t/>
        </is>
      </c>
      <c r="G206" s="6" t="inlineStr">
        <is>
          <t/>
        </is>
      </c>
    </row>
    <row r="207">
      <c r="A207" s="3" t="inlineStr">
        <is>
          <t>HG RG 1000</t>
        </is>
      </c>
      <c r="B207" s="2" t="inlineStr">
        <is>
          <t>Naparovač odevov, 1000 W, 100 ml, 15 g/min</t>
        </is>
      </c>
      <c r="C207" s="1" t="n">
        <v>27.99</v>
      </c>
      <c r="D207" s="7" t="n">
        <f>HYPERLINK("https://www.somogyi.sk/product/naparovac-odevov-1000-w-100-ml-15-g-min-hg-rg-1000-17561","https://www.somogyi.sk/product/naparovac-odevov-1000-w-100-ml-15-g-min-hg-rg-1000-17561")</f>
        <v>0.0</v>
      </c>
      <c r="E207" s="7" t="n">
        <f>HYPERLINK("https://www.somogyi.sk/productimages/product_main_images/small/17561.jpg","https://www.somogyi.sk/productimages/product_main_images/small/17561.jpg")</f>
        <v>0.0</v>
      </c>
      <c r="F207" s="2" t="inlineStr">
        <is>
          <t>5999084955830</t>
        </is>
      </c>
      <c r="G207" s="4" t="inlineStr">
        <is>
          <t xml:space="preserve"> • výkon: 1000 W 
 • N/A: ~15 g/min. parná kapacita 
 • nádrž na vodu: 100 ml (odstrániteľný) 
 • napájanie: 220 – 240 V~ 50/60 Hz</t>
        </is>
      </c>
    </row>
    <row r="208">
      <c r="A208" s="6" t="inlineStr">
        <is>
          <t xml:space="preserve">   Domáce spotrebiče / Panvica, wok</t>
        </is>
      </c>
      <c r="B208" s="6" t="inlineStr">
        <is>
          <t/>
        </is>
      </c>
      <c r="C208" s="6" t="inlineStr">
        <is>
          <t/>
        </is>
      </c>
      <c r="D208" s="6" t="inlineStr">
        <is>
          <t/>
        </is>
      </c>
      <c r="E208" s="6" t="inlineStr">
        <is>
          <t/>
        </is>
      </c>
      <c r="F208" s="6" t="inlineStr">
        <is>
          <t/>
        </is>
      </c>
      <c r="G208" s="6" t="inlineStr">
        <is>
          <t/>
        </is>
      </c>
    </row>
    <row r="209">
      <c r="A209" s="3" t="inlineStr">
        <is>
          <t>10-144-103</t>
        </is>
      </c>
      <c r="B209" s="2" t="inlineStr">
        <is>
          <t>Nava panvica 28 cm</t>
        </is>
      </c>
      <c r="C209" s="1" t="n">
        <v>30.99</v>
      </c>
      <c r="D209" s="7" t="n">
        <f>HYPERLINK("https://www.somogyi.sk/product/nava-panvica-28-cm-10-144-103-17677","https://www.somogyi.sk/product/nava-panvica-28-cm-10-144-103-17677")</f>
        <v>0.0</v>
      </c>
      <c r="E209" s="7" t="n">
        <f>HYPERLINK("https://www.somogyi.sk/productimages/product_main_images/small/17677.jpg","https://www.somogyi.sk/productimages/product_main_images/small/17677.jpg")</f>
        <v>0.0</v>
      </c>
      <c r="F209" s="2" t="inlineStr">
        <is>
          <t>5205746087079</t>
        </is>
      </c>
      <c r="G209" s="4" t="inlineStr">
        <is>
          <t xml:space="preserve"> • ochranná vrstva proti pripáleniu: nepriľnavá kameninová vrstva 
 • N/A: vhodný aj na indukčnú varnú dosku 
 • rozmery: ∅28 cm 
 • N/A: umývateľný aj v umývačke riadu 
 • ďalšie informácie: závesný</t>
        </is>
      </c>
    </row>
    <row r="210">
      <c r="A210" s="3" t="inlineStr">
        <is>
          <t>10-144-112</t>
        </is>
      </c>
      <c r="B210" s="2" t="inlineStr">
        <is>
          <t>Nava panvica na palacinky 24 cm</t>
        </is>
      </c>
      <c r="C210" s="1" t="n">
        <v>23.99</v>
      </c>
      <c r="D210" s="7" t="n">
        <f>HYPERLINK("https://www.somogyi.sk/product/nava-panvica-na-palacinky-24-cm-10-144-112-17679","https://www.somogyi.sk/product/nava-panvica-na-palacinky-24-cm-10-144-112-17679")</f>
        <v>0.0</v>
      </c>
      <c r="E210" s="7" t="n">
        <f>HYPERLINK("https://www.somogyi.sk/productimages/product_main_images/small/17679.jpg","https://www.somogyi.sk/productimages/product_main_images/small/17679.jpg")</f>
        <v>0.0</v>
      </c>
      <c r="F210" s="2" t="inlineStr">
        <is>
          <t>5205746087468</t>
        </is>
      </c>
      <c r="G210" s="4" t="inlineStr">
        <is>
          <t xml:space="preserve"> • ochranná vrstva proti pripáleniu: nepriľnavá kameninová vrstva 
 • N/A: vhodný aj na indukčnú varnú dosku 
 • rozmery: ∅24 cm 
 • N/A: umývateľný aj v umývačke riadu 
 • ďalšie informácie: závesný</t>
        </is>
      </c>
    </row>
    <row r="211">
      <c r="A211" s="3" t="inlineStr">
        <is>
          <t>0APE039</t>
        </is>
      </c>
      <c r="B211" s="2" t="inlineStr">
        <is>
          <t>Tlakový hrniec</t>
        </is>
      </c>
      <c r="C211" s="1" t="n">
        <v>87.99</v>
      </c>
      <c r="D211" s="7" t="n">
        <f>HYPERLINK("https://www.somogyi.sk/product/tlakovy-hrniec-0ape039-18194","https://www.somogyi.sk/product/tlakovy-hrniec-0ape039-18194")</f>
        <v>0.0</v>
      </c>
      <c r="E211" s="7" t="n">
        <f>HYPERLINK("https://www.somogyi.sk/productimages/product_main_images/small/18194.jpg","https://www.somogyi.sk/productimages/product_main_images/small/18194.jpg")</f>
        <v>0.0</v>
      </c>
      <c r="F211" s="2" t="inlineStr">
        <is>
          <t>0883336420816</t>
        </is>
      </c>
      <c r="G211" s="4" t="inlineStr">
        <is>
          <t xml:space="preserve"> • objem: 5 l 
 • rozmery: priemer: 22 cm</t>
        </is>
      </c>
    </row>
    <row r="212">
      <c r="A212" s="3" t="inlineStr">
        <is>
          <t>10-144-110</t>
        </is>
      </c>
      <c r="B212" s="2" t="inlineStr">
        <is>
          <t>Nava Wok panvica 28 cm</t>
        </is>
      </c>
      <c r="C212" s="1" t="n">
        <v>34.99</v>
      </c>
      <c r="D212" s="7" t="n">
        <f>HYPERLINK("https://www.somogyi.sk/product/nava-wok-panvica-28-cm-10-144-110-17678","https://www.somogyi.sk/product/nava-wok-panvica-28-cm-10-144-110-17678")</f>
        <v>0.0</v>
      </c>
      <c r="E212" s="7" t="n">
        <f>HYPERLINK("https://www.somogyi.sk/productimages/product_main_images/small/17678.jpg","https://www.somogyi.sk/productimages/product_main_images/small/17678.jpg")</f>
        <v>0.0</v>
      </c>
      <c r="F212" s="2" t="inlineStr">
        <is>
          <t>5205746087406</t>
        </is>
      </c>
      <c r="G212" s="4" t="inlineStr">
        <is>
          <t xml:space="preserve"> • ochranná vrstva proti pripáleniu: nepriľnavá kameninová vrstva 
 • N/A: vhodný aj na indukčnú varnú dosku 
 • rozmery: ∅28 cm 
 • N/A: umývateľný aj v umývačke riadu 
 • ďalšie informácie: závesný</t>
        </is>
      </c>
    </row>
    <row r="213">
      <c r="A213" s="6" t="inlineStr">
        <is>
          <t xml:space="preserve">   Domáce spotrebiče / Hrnce a panvice</t>
        </is>
      </c>
      <c r="B213" s="6" t="inlineStr">
        <is>
          <t/>
        </is>
      </c>
      <c r="C213" s="6" t="inlineStr">
        <is>
          <t/>
        </is>
      </c>
      <c r="D213" s="6" t="inlineStr">
        <is>
          <t/>
        </is>
      </c>
      <c r="E213" s="6" t="inlineStr">
        <is>
          <t/>
        </is>
      </c>
      <c r="F213" s="6" t="inlineStr">
        <is>
          <t/>
        </is>
      </c>
      <c r="G213" s="6" t="inlineStr">
        <is>
          <t/>
        </is>
      </c>
    </row>
    <row r="214">
      <c r="A214" s="3" t="inlineStr">
        <is>
          <t>10-144-130</t>
        </is>
      </c>
      <c r="B214" s="2" t="inlineStr">
        <is>
          <t>Nava pekáč 28 cm</t>
        </is>
      </c>
      <c r="C214" s="1" t="n">
        <v>43.99</v>
      </c>
      <c r="D214" s="7" t="n">
        <f>HYPERLINK("https://www.somogyi.sk/product/nava-pekac-28-cm-10-144-130-17682","https://www.somogyi.sk/product/nava-pekac-28-cm-10-144-130-17682")</f>
        <v>0.0</v>
      </c>
      <c r="E214" s="7" t="n">
        <f>HYPERLINK("https://www.somogyi.sk/productimages/product_main_images/small/17682.jpg","https://www.somogyi.sk/productimages/product_main_images/small/17682.jpg")</f>
        <v>0.0</v>
      </c>
      <c r="F214" s="2" t="inlineStr">
        <is>
          <t>5205746087567</t>
        </is>
      </c>
      <c r="G214" s="4" t="inlineStr">
        <is>
          <t xml:space="preserve"> • ochranná vrstva proti pripáleniu: nepriľnavá kameninová vrstva 
 • N/A: vhodný aj na indukčnú varnú dosku 
 • rozmery: ∅28 cm 
 • N/A: umývateľný aj v umývačke riadu</t>
        </is>
      </c>
    </row>
    <row r="215">
      <c r="A215" s="3" t="inlineStr">
        <is>
          <t>10-144-120</t>
        </is>
      </c>
      <c r="B215" s="2" t="inlineStr">
        <is>
          <t>Nava hrniec 20 cm</t>
        </is>
      </c>
      <c r="C215" s="1" t="n">
        <v>34.99</v>
      </c>
      <c r="D215" s="7" t="n">
        <f>HYPERLINK("https://www.somogyi.sk/product/nava-hrniec-20-cm-10-144-120-17680","https://www.somogyi.sk/product/nava-hrniec-20-cm-10-144-120-17680")</f>
        <v>0.0</v>
      </c>
      <c r="E215" s="7" t="n">
        <f>HYPERLINK("https://www.somogyi.sk/productimages/product_main_images/small/17680.jpg","https://www.somogyi.sk/productimages/product_main_images/small/17680.jpg")</f>
        <v>0.0</v>
      </c>
      <c r="F215" s="2" t="inlineStr">
        <is>
          <t>5205746087048</t>
        </is>
      </c>
      <c r="G215" s="4" t="inlineStr">
        <is>
          <t xml:space="preserve"> • ochranná vrstva proti pripáleniu: nepriľnavá kameninová vrstva 
 • N/A: vhodný aj na indukčnú varnú dosku 
 • rozmery: ∅20 cm 
 • N/A: umývateľný aj v umývačke riadu</t>
        </is>
      </c>
    </row>
    <row r="216">
      <c r="A216" s="3" t="inlineStr">
        <is>
          <t>10-144-122</t>
        </is>
      </c>
      <c r="B216" s="2" t="inlineStr">
        <is>
          <t>Nava hrniec 28 cm</t>
        </is>
      </c>
      <c r="C216" s="1" t="n">
        <v>51.99</v>
      </c>
      <c r="D216" s="7" t="n">
        <f>HYPERLINK("https://www.somogyi.sk/product/nava-hrniec-28-cm-10-144-122-17681","https://www.somogyi.sk/product/nava-hrniec-28-cm-10-144-122-17681")</f>
        <v>0.0</v>
      </c>
      <c r="E216" s="7" t="n">
        <f>HYPERLINK("https://www.somogyi.sk/productimages/product_main_images/small/17681.jpg","https://www.somogyi.sk/productimages/product_main_images/small/17681.jpg")</f>
        <v>0.0</v>
      </c>
      <c r="F216" s="2" t="inlineStr">
        <is>
          <t>5205746087222</t>
        </is>
      </c>
      <c r="G216" s="4" t="inlineStr">
        <is>
          <t xml:space="preserve"> • ochranná vrstva proti pripáleniu: nepriľnavá kameninová vrstva 
 • N/A: vhodný aj na indukčnú varnú dosku 
 • rozmery: ∅28 cm 
 • N/A: umývateľný aj v umývačke riadu</t>
        </is>
      </c>
    </row>
    <row r="217">
      <c r="A217" s="6" t="inlineStr">
        <is>
          <t xml:space="preserve">   Domáce spotrebiče / Forma na pečenie</t>
        </is>
      </c>
      <c r="B217" s="6" t="inlineStr">
        <is>
          <t/>
        </is>
      </c>
      <c r="C217" s="6" t="inlineStr">
        <is>
          <t/>
        </is>
      </c>
      <c r="D217" s="6" t="inlineStr">
        <is>
          <t/>
        </is>
      </c>
      <c r="E217" s="6" t="inlineStr">
        <is>
          <t/>
        </is>
      </c>
      <c r="F217" s="6" t="inlineStr">
        <is>
          <t/>
        </is>
      </c>
      <c r="G217" s="6" t="inlineStr">
        <is>
          <t/>
        </is>
      </c>
    </row>
    <row r="218">
      <c r="A218" s="3" t="inlineStr">
        <is>
          <t>03GD109G</t>
        </is>
      </c>
      <c r="B218" s="2" t="inlineStr">
        <is>
          <t>PEDRINI forma na tortu v tvare srdca</t>
        </is>
      </c>
      <c r="C218" s="1" t="n">
        <v>14.99</v>
      </c>
      <c r="D218" s="7" t="n">
        <f>HYPERLINK("https://www.somogyi.sk/product/pedrini-forma-na-tortu-v-tvare-srdca-03gd109g-18082","https://www.somogyi.sk/product/pedrini-forma-na-tortu-v-tvare-srdca-03gd109g-18082")</f>
        <v>0.0</v>
      </c>
      <c r="E218" s="7" t="n">
        <f>HYPERLINK("https://www.somogyi.sk/productimages/product_main_images/small/18082.jpg","https://www.somogyi.sk/productimages/product_main_images/small/18082.jpg")</f>
        <v>0.0</v>
      </c>
      <c r="F218" s="2" t="inlineStr">
        <is>
          <t>8006330010612</t>
        </is>
      </c>
      <c r="G218" s="4" t="inlineStr">
        <is>
          <t xml:space="preserve"> • ochranná vrstva proti pripáleniu: dvojitá nepriľnavá vrstva 
 • rozmery: 25 x 25 cm 
 • ďalšie informácie: vhodný do umývačky riadu • talianska kvalita</t>
        </is>
      </c>
    </row>
    <row r="219">
      <c r="A219" s="3" t="inlineStr">
        <is>
          <t>03GD122G</t>
        </is>
      </c>
      <c r="B219" s="2" t="inlineStr">
        <is>
          <t>PEDRINI forma na muffiny</t>
        </is>
      </c>
      <c r="C219" s="1" t="n">
        <v>18.99</v>
      </c>
      <c r="D219" s="7" t="n">
        <f>HYPERLINK("https://www.somogyi.sk/product/pedrini-forma-na-muffiny-03gd122g-18083","https://www.somogyi.sk/product/pedrini-forma-na-muffiny-03gd122g-18083")</f>
        <v>0.0</v>
      </c>
      <c r="E219" s="7" t="n">
        <f>HYPERLINK("https://www.somogyi.sk/productimages/product_main_images/small/18083.jpg","https://www.somogyi.sk/productimages/product_main_images/small/18083.jpg")</f>
        <v>0.0</v>
      </c>
      <c r="F219" s="2" t="inlineStr">
        <is>
          <t>8006330010834</t>
        </is>
      </c>
      <c r="G219" s="4" t="inlineStr">
        <is>
          <t xml:space="preserve"> • ochranná vrstva proti pripáleniu: dvojitá nepriľnavá vrstva 
 • rozmery: 35 x 27 cm 
 • ďalšie informácie: 12 porcií • dá sa umývať v umývačke riadu • talianska kvalita</t>
        </is>
      </c>
    </row>
    <row r="220">
      <c r="A220" s="3" t="inlineStr">
        <is>
          <t>0267-820</t>
        </is>
      </c>
      <c r="B220" s="2" t="inlineStr">
        <is>
          <t>PEDRINI otvárač na konzervy</t>
        </is>
      </c>
      <c r="C220" s="1" t="n">
        <v>8.29</v>
      </c>
      <c r="D220" s="7" t="n">
        <f>HYPERLINK("https://www.somogyi.sk/product/pedrini-otvarac-na-konzervy-0267-820-18080","https://www.somogyi.sk/product/pedrini-otvarac-na-konzervy-0267-820-18080")</f>
        <v>0.0</v>
      </c>
      <c r="E220" s="7" t="n">
        <f>HYPERLINK("https://www.somogyi.sk/productimages/product_main_images/small/18080.jpg","https://www.somogyi.sk/productimages/product_main_images/small/18080.jpg")</f>
        <v>0.0</v>
      </c>
      <c r="F220" s="2" t="inlineStr">
        <is>
          <t>8006330233080</t>
        </is>
      </c>
      <c r="G220" s="4" t="inlineStr">
        <is>
          <t xml:space="preserve"> • rezacia hlava z kalenej ocele 
 • jednoduché používanie 
 • talianska kvalita</t>
        </is>
      </c>
    </row>
    <row r="221">
      <c r="A221" s="3" t="inlineStr">
        <is>
          <t>0147-320</t>
        </is>
      </c>
      <c r="B221" s="2" t="inlineStr">
        <is>
          <t>PEDRINI strúhadlo na syr</t>
        </is>
      </c>
      <c r="C221" s="1" t="n">
        <v>15.49</v>
      </c>
      <c r="D221" s="7" t="n">
        <f>HYPERLINK("https://www.somogyi.sk/product/pedrini-struhadlo-na-syr-0147-320-18086","https://www.somogyi.sk/product/pedrini-struhadlo-na-syr-0147-320-18086")</f>
        <v>0.0</v>
      </c>
      <c r="E221" s="7" t="n">
        <f>HYPERLINK("https://www.somogyi.sk/productimages/product_main_images/small/18086.jpg","https://www.somogyi.sk/productimages/product_main_images/small/18086.jpg")</f>
        <v>0.0</v>
      </c>
      <c r="F221" s="2" t="inlineStr">
        <is>
          <t>8006330001474</t>
        </is>
      </c>
      <c r="G221" s="4" t="inlineStr">
        <is>
          <t xml:space="preserve"> • jednoduché používanie 
 • nerezový bubon 
 • ergonomické prevedenie 
 • vhodné na umývanie v umývačke riadu 
 • talianska kvalita</t>
        </is>
      </c>
    </row>
    <row r="222">
      <c r="A222" s="3" t="inlineStr">
        <is>
          <t>03GD105G</t>
        </is>
      </c>
      <c r="B222" s="2" t="inlineStr">
        <is>
          <t>PEDRINI okrúhla tortová forma so sponou</t>
        </is>
      </c>
      <c r="C222" s="1" t="n">
        <v>23.99</v>
      </c>
      <c r="D222" s="7" t="n">
        <f>HYPERLINK("https://www.somogyi.sk/product/pedrini-okruhla-tortova-forma-so-sponou-03gd105g-18081","https://www.somogyi.sk/product/pedrini-okruhla-tortova-forma-so-sponou-03gd105g-18081")</f>
        <v>0.0</v>
      </c>
      <c r="E222" s="7" t="n">
        <f>HYPERLINK("https://www.somogyi.sk/productimages/product_main_images/small/18081.jpg","https://www.somogyi.sk/productimages/product_main_images/small/18081.jpg")</f>
        <v>0.0</v>
      </c>
      <c r="F222" s="2" t="inlineStr">
        <is>
          <t>8006330010155</t>
        </is>
      </c>
      <c r="G222" s="4" t="inlineStr">
        <is>
          <t xml:space="preserve"> • rozmery: ∅24 x 7,6 cm 
 • materiál: nehrdzavejúca oceľ</t>
        </is>
      </c>
    </row>
    <row r="223">
      <c r="A223" s="3" t="inlineStr">
        <is>
          <t>0152-420</t>
        </is>
      </c>
      <c r="B223" s="2" t="inlineStr">
        <is>
          <t>PEDRINI nástroj na zdobenie</t>
        </is>
      </c>
      <c r="C223" s="1" t="n">
        <v>6.89</v>
      </c>
      <c r="D223" s="7" t="n">
        <f>HYPERLINK("https://www.somogyi.sk/product/pedrini-nastroj-na-zdobenie-0152-420-18079","https://www.somogyi.sk/product/pedrini-nastroj-na-zdobenie-0152-420-18079")</f>
        <v>0.0</v>
      </c>
      <c r="E223" s="7" t="n">
        <f>HYPERLINK("https://www.somogyi.sk/productimages/product_main_images/small/18079.jpg","https://www.somogyi.sk/productimages/product_main_images/small/18079.jpg")</f>
        <v>0.0</v>
      </c>
      <c r="F223" s="2" t="inlineStr">
        <is>
          <t>8006330564047</t>
        </is>
      </c>
      <c r="G223" s="4" t="inlineStr">
        <is>
          <t xml:space="preserve"> • materiál: plast</t>
        </is>
      </c>
    </row>
    <row r="224">
      <c r="A224" s="3" t="inlineStr">
        <is>
          <t>03GD259</t>
        </is>
      </c>
      <c r="B224" s="2" t="inlineStr">
        <is>
          <t>PEDRINI plastová stierka</t>
        </is>
      </c>
      <c r="C224" s="1" t="n">
        <v>5.19</v>
      </c>
      <c r="D224" s="7" t="n">
        <f>HYPERLINK("https://www.somogyi.sk/product/pedrini-plastova-stierka-03gd259-18085","https://www.somogyi.sk/product/pedrini-plastova-stierka-03gd259-18085")</f>
        <v>0.0</v>
      </c>
      <c r="E224" s="7" t="n">
        <f>HYPERLINK("https://www.somogyi.sk/productimages/product_main_images/small/18085.jpg","https://www.somogyi.sk/productimages/product_main_images/small/18085.jpg")</f>
        <v>0.0</v>
      </c>
      <c r="F224" s="2" t="inlineStr">
        <is>
          <t>0883336401990</t>
        </is>
      </c>
      <c r="G224" s="4" t="inlineStr">
        <is>
          <t xml:space="preserve"> • tri kusy v balení 
 • na zdobenie torty a hladenie fondánov 
 • pružný plast 
 • jednoduché používanie 
 • vhodné na umývanie v umývačke riadu 
 • talianska kvalita</t>
        </is>
      </c>
    </row>
    <row r="225">
      <c r="A225" s="3" t="inlineStr">
        <is>
          <t>89992</t>
        </is>
      </c>
      <c r="B225" s="2" t="inlineStr">
        <is>
          <t>Guardini Starting forma na pečenie</t>
        </is>
      </c>
      <c r="C225" s="1" t="n">
        <v>36.99</v>
      </c>
      <c r="D225" s="7" t="n">
        <f>HYPERLINK("https://www.somogyi.sk/product/guardini-starting-forma-na-pecenie-89992-17689","https://www.somogyi.sk/product/guardini-starting-forma-na-pecenie-89992-17689")</f>
        <v>0.0</v>
      </c>
      <c r="E225" s="7" t="n">
        <f>HYPERLINK("https://www.somogyi.sk/productimages/product_main_images/small/17689.jpg","https://www.somogyi.sk/productimages/product_main_images/small/17689.jpg")</f>
        <v>0.0</v>
      </c>
      <c r="F225" s="2" t="inlineStr">
        <is>
          <t>8006043013658</t>
        </is>
      </c>
      <c r="G225" s="4" t="inlineStr">
        <is>
          <t xml:space="preserve"> • pripojenia: 4 kusy: tortová forma so sponou, forma na ovocnú tortu, forma na pečenie chleba, forma na kuglóf 
 • ochranná vrstva proti pripáleniu: áno</t>
        </is>
      </c>
    </row>
    <row r="226">
      <c r="A226" s="6" t="inlineStr">
        <is>
          <t xml:space="preserve">   Domáce spotrebiče / Teplomery</t>
        </is>
      </c>
      <c r="B226" s="6" t="inlineStr">
        <is>
          <t/>
        </is>
      </c>
      <c r="C226" s="6" t="inlineStr">
        <is>
          <t/>
        </is>
      </c>
      <c r="D226" s="6" t="inlineStr">
        <is>
          <t/>
        </is>
      </c>
      <c r="E226" s="6" t="inlineStr">
        <is>
          <t/>
        </is>
      </c>
      <c r="F226" s="6" t="inlineStr">
        <is>
          <t/>
        </is>
      </c>
      <c r="G226" s="6" t="inlineStr">
        <is>
          <t/>
        </is>
      </c>
    </row>
    <row r="227">
      <c r="A227" s="3" t="inlineStr">
        <is>
          <t>HG TM 01</t>
        </is>
      </c>
      <c r="B227" s="2" t="inlineStr">
        <is>
          <t>Kuchynský teplomer, digitálny</t>
        </is>
      </c>
      <c r="C227" s="1" t="n">
        <v>6.29</v>
      </c>
      <c r="D227" s="7" t="n">
        <f>HYPERLINK("https://www.somogyi.sk/product/kuchynsky-teplomer-digitalny-hg-tm-01-17771","https://www.somogyi.sk/product/kuchynsky-teplomer-digitalny-hg-tm-01-17771")</f>
        <v>0.0</v>
      </c>
      <c r="E227" s="7" t="n">
        <f>HYPERLINK("https://www.somogyi.sk/productimages/product_main_images/small/17771.jpg","https://www.somogyi.sk/productimages/product_main_images/small/17771.jpg")</f>
        <v>0.0</v>
      </c>
      <c r="F227" s="2" t="inlineStr">
        <is>
          <t>5999084957933</t>
        </is>
      </c>
      <c r="G227" s="4" t="inlineStr">
        <is>
          <t xml:space="preserve"> • interval merania: - 50 -   300 °C 
 • rozmery: 26 x 3 x 1,5 cm (dĺžka sondy: 15 cm) 
 • napájanie: 1x1,5 V (LR44) gombíková batéria, je príslušenstvom</t>
        </is>
      </c>
    </row>
    <row r="228">
      <c r="A228" s="6" t="inlineStr">
        <is>
          <t xml:space="preserve">   Domáce spotrebiče / Mysoda</t>
        </is>
      </c>
      <c r="B228" s="6" t="inlineStr">
        <is>
          <t/>
        </is>
      </c>
      <c r="C228" s="6" t="inlineStr">
        <is>
          <t/>
        </is>
      </c>
      <c r="D228" s="6" t="inlineStr">
        <is>
          <t/>
        </is>
      </c>
      <c r="E228" s="6" t="inlineStr">
        <is>
          <t/>
        </is>
      </c>
      <c r="F228" s="6" t="inlineStr">
        <is>
          <t/>
        </is>
      </c>
      <c r="G228" s="6" t="inlineStr">
        <is>
          <t/>
        </is>
      </c>
    </row>
    <row r="229">
      <c r="A229" s="3" t="inlineStr">
        <is>
          <t>MSO-RB003AL-S</t>
        </is>
      </c>
      <c r="B229" s="2" t="inlineStr">
        <is>
          <t>Mysoda Ruby výrobník sódy SILVER</t>
        </is>
      </c>
      <c r="C229" s="1" t="n">
        <v>189.9</v>
      </c>
      <c r="D229" s="7" t="n">
        <f>HYPERLINK("https://www.somogyi.sk/product/mysoda-ruby-vyrobnik-sody-silver-mso-rb003al-s-17872","https://www.somogyi.sk/product/mysoda-ruby-vyrobnik-sody-silver-mso-rb003al-s-17872")</f>
        <v>0.0</v>
      </c>
      <c r="E229" s="7" t="n">
        <f>HYPERLINK("https://www.somogyi.sk/productimages/product_main_images/small/17872.jpg","https://www.somogyi.sk/productimages/product_main_images/small/17872.jpg")</f>
        <v>0.0</v>
      </c>
      <c r="F229" s="2" t="inlineStr">
        <is>
          <t>6430052009227</t>
        </is>
      </c>
      <c r="G229" s="4" t="inlineStr">
        <is>
          <t xml:space="preserve"> • materiál: hliník 
 • obsah setu: 1 prístroj na prípravu perlivej vody, 2 opakovane použiteľné fľaše na vodu (0,5 l a 1 l), 1 bombička CO2 
 •  
 • teplota: max. prevádzková teplota: 40°C/104°F 
 • N/A: max. prevádzkový tlak: 10 bar/145 Ps 
 • rozmery: 14,3 x 41 x 24 cm</t>
        </is>
      </c>
    </row>
    <row r="230">
      <c r="A230" s="3" t="inlineStr">
        <is>
          <t>MSO-TB001F-B</t>
        </is>
      </c>
      <c r="B230" s="2" t="inlineStr">
        <is>
          <t>Mysoda Toby výrobník sódy BLACK</t>
        </is>
      </c>
      <c r="C230" s="1" t="n">
        <v>125.9</v>
      </c>
      <c r="D230" s="7" t="n">
        <f>HYPERLINK("https://www.somogyi.sk/product/mysoda-toby-vyrobnik-sody-black-mso-tb001f-b-17871","https://www.somogyi.sk/product/mysoda-toby-vyrobnik-sody-black-mso-tb001f-b-17871")</f>
        <v>0.0</v>
      </c>
      <c r="E230" s="7" t="n">
        <f>HYPERLINK("https://www.somogyi.sk/productimages/product_main_images/small/17871.jpg","https://www.somogyi.sk/productimages/product_main_images/small/17871.jpg")</f>
        <v>0.0</v>
      </c>
      <c r="F230" s="2" t="inlineStr">
        <is>
          <t>6430052009876</t>
        </is>
      </c>
      <c r="G230" s="4" t="inlineStr">
        <is>
          <t xml:space="preserve"> • obsah setu: 1 prístroj na prípravu perlivej vody, 2 opakovane použiteľné fľaše na vodu (0,5 l a 1 l), 1 bombička CO2 
 •  
 • teplota: max. prevádzková teplota: 40°C/104°F 
 • N/A: max. prevádzkový tlak: 10 bar/145 Ps 
 • rozmery: 15,3 x 40,8 x 27 cm</t>
        </is>
      </c>
    </row>
    <row r="231">
      <c r="A231" s="3" t="inlineStr">
        <is>
          <t>MSO-1PB10M-S</t>
        </is>
      </c>
      <c r="B231" s="2" t="inlineStr">
        <is>
          <t>Mysoda 1 l fľaša SILVER</t>
        </is>
      </c>
      <c r="C231" s="1" t="n">
        <v>17.49</v>
      </c>
      <c r="D231" s="7" t="n">
        <f>HYPERLINK("https://www.somogyi.sk/product/mysoda-1-l-flasa-silver-mso-1pb10m-s-17875","https://www.somogyi.sk/product/mysoda-1-l-flasa-silver-mso-1pb10m-s-17875")</f>
        <v>0.0</v>
      </c>
      <c r="E231" s="7" t="n">
        <f>HYPERLINK("https://www.somogyi.sk/productimages/product_main_images/small/17875.jpg","https://www.somogyi.sk/productimages/product_main_images/small/17875.jpg")</f>
        <v>0.0</v>
      </c>
      <c r="F231" s="2" t="inlineStr">
        <is>
          <t>6430052009692</t>
        </is>
      </c>
      <c r="G231" s="4" t="inlineStr">
        <is>
          <t xml:space="preserve"> • obsah setu: 1 fľaša 
 • objem: 1 l 
 • kompatibilita: kompatibilný s Mysoda 
 • rozmery: 26,7 x 8,5 x 8,5 cm</t>
        </is>
      </c>
    </row>
    <row r="232">
      <c r="A232" s="6" t="inlineStr">
        <is>
          <t xml:space="preserve">   Domáce spotrebiče / Kuchynské digestory</t>
        </is>
      </c>
      <c r="B232" s="6" t="inlineStr">
        <is>
          <t/>
        </is>
      </c>
      <c r="C232" s="6" t="inlineStr">
        <is>
          <t/>
        </is>
      </c>
      <c r="D232" s="6" t="inlineStr">
        <is>
          <t/>
        </is>
      </c>
      <c r="E232" s="6" t="inlineStr">
        <is>
          <t/>
        </is>
      </c>
      <c r="F232" s="6" t="inlineStr">
        <is>
          <t/>
        </is>
      </c>
      <c r="G232" s="6" t="inlineStr">
        <is>
          <t/>
        </is>
      </c>
    </row>
    <row r="233">
      <c r="A233" s="3" t="inlineStr">
        <is>
          <t>KPE 5019B</t>
        </is>
      </c>
      <c r="B233" s="2" t="inlineStr">
        <is>
          <t>Kuchynský odsávač pár STORM 50 cm, čierny</t>
        </is>
      </c>
      <c r="C233" s="1" t="n">
        <v>68.99</v>
      </c>
      <c r="D233" s="7" t="n">
        <f>HYPERLINK("https://www.somogyi.sk/product/kuchynsky-odsavac-par-storm-50-cm-cierny-kpe-5019b-18159","https://www.somogyi.sk/product/kuchynsky-odsavac-par-storm-50-cm-cierny-kpe-5019b-18159")</f>
        <v>0.0</v>
      </c>
      <c r="E233" s="7" t="n">
        <f>HYPERLINK("https://www.somogyi.sk/productimages/product_main_images/small/18159.jpg","https://www.somogyi.sk/productimages/product_main_images/small/18159.jpg")</f>
        <v>0.0</v>
      </c>
      <c r="F233" s="2" t="inlineStr">
        <is>
          <t>5999084961817</t>
        </is>
      </c>
      <c r="G233" s="4" t="inlineStr">
        <is>
          <t>KPE 5019B z nášho radu kuchynských odsávačov pár STORM je dokonalou kombináciou moderného dizajnu a efektívnej prevádzky. Čierne lakované telo z oceľového plechu dodá vašej kuchyni výnimočný vzhľad. Výrobok sa ľahko ovláda pomocou tlačidiel. Prúd vzduchu je možné regulovať v 3 rýchlostiach v režime odsávania alebo cirkulácie vzduchu. Tento odsávač pár je špeciálne navrhnutý na domáce použitie a ponúka celý rad praktických funkcií. Dodáva sa s umývateľným 3-vrstvovým hliníkovým sieťovým filtrom proti mastnotám, ktorý prispieva k účinnej filtrácii vzduchu a príjemnej atmosfére v kuchyni. Výrobok má šírku 50 cm a dosahuje prietok vzduchu až 190 m3/h, čím zabezpečuje účinné odsávanie pár aj počas intenzívnych kuchárskych činností. Pre správnu inštaláciu odsávača pár je dôležité vyhľadať pomoc odborníka, aby sa zaručila bezpečná a optimálna prevádzka. S odsávačom pár KPE 5019B bude vaša kuchyňa čistá a vetraná!</t>
        </is>
      </c>
    </row>
    <row r="234">
      <c r="A234" s="3" t="inlineStr">
        <is>
          <t>KPE 6090/A</t>
        </is>
      </c>
      <c r="B234" s="2" t="inlineStr">
        <is>
          <t>Hliníkový tukový filter pre odsávače pár CYCLONE</t>
        </is>
      </c>
      <c r="C234" s="1" t="n">
        <v>7.49</v>
      </c>
      <c r="D234" s="7" t="n">
        <f>HYPERLINK("https://www.somogyi.sk/product/hlinikovy-tukovy-filter-pre-odsavace-par-cyclone-kpe-6090-a-18143","https://www.somogyi.sk/product/hlinikovy-tukovy-filter-pre-odsavace-par-cyclone-kpe-6090-a-18143")</f>
        <v>0.0</v>
      </c>
      <c r="E234" s="7" t="n">
        <f>HYPERLINK("https://www.somogyi.sk/productimages/product_main_images/small/18143.jpg","https://www.somogyi.sk/productimages/product_main_images/small/18143.jpg")</f>
        <v>0.0</v>
      </c>
      <c r="F234" s="2" t="inlineStr">
        <is>
          <t>5999084961657</t>
        </is>
      </c>
      <c r="G234" s="4" t="inlineStr">
        <is>
          <t>KPE 6090/A je umývateľný 5-vrstvový filter z hliníkovej sieťoviny, ktorý sa dokonale hodí ku všetkým kuchynským odsávačom pár radu CYCLONE.</t>
        </is>
      </c>
    </row>
    <row r="235">
      <c r="A235" s="3" t="inlineStr">
        <is>
          <t>KPE 5019/COT</t>
        </is>
      </c>
      <c r="B235" s="2" t="inlineStr">
        <is>
          <t>Bavlnený filter pre odsávače pár STORM</t>
        </is>
      </c>
      <c r="C235" s="1" t="n">
        <v>5.99</v>
      </c>
      <c r="D235" s="7" t="n">
        <f>HYPERLINK("https://www.somogyi.sk/product/bavlneny-filter-pre-odsavace-par-storm-kpe-5019-cot-18160","https://www.somogyi.sk/product/bavlneny-filter-pre-odsavace-par-storm-kpe-5019-cot-18160")</f>
        <v>0.0</v>
      </c>
      <c r="E235" s="7" t="n">
        <f>HYPERLINK("https://www.somogyi.sk/productimages/product_main_images/small/18160.jpg","https://www.somogyi.sk/productimages/product_main_images/small/18160.jpg")</f>
        <v>0.0</v>
      </c>
      <c r="F235" s="2" t="inlineStr">
        <is>
          <t>5999084961824</t>
        </is>
      </c>
      <c r="G235" s="4" t="inlineStr">
        <is>
          <t>KPE 5019/COT (1 kus) bavlnený filter  sa dokonale hodí ku všetkým kuchynským odsávačom pár radu STORM.</t>
        </is>
      </c>
    </row>
    <row r="236">
      <c r="A236" s="3" t="inlineStr">
        <is>
          <t>KPE 6044/A</t>
        </is>
      </c>
      <c r="B236" s="2" t="inlineStr">
        <is>
          <t>Súprava hliníkového tukového filtra pre odsávače pár radu TWISTER</t>
        </is>
      </c>
      <c r="C236" s="1" t="n">
        <v>14.99</v>
      </c>
      <c r="D236" s="7" t="n">
        <f>HYPERLINK("https://www.somogyi.sk/product/suprava-hlinikoveho-tukoveho-filtra-pre-odsavace-par-radu-twister-kpe-6044-a-18147","https://www.somogyi.sk/product/suprava-hlinikoveho-tukoveho-filtra-pre-odsavace-par-radu-twister-kpe-6044-a-18147")</f>
        <v>0.0</v>
      </c>
      <c r="E236" s="7" t="n">
        <f>HYPERLINK("https://www.somogyi.sk/productimages/product_main_images/small/18147.jpg","https://www.somogyi.sk/productimages/product_main_images/small/18147.jpg")</f>
        <v>0.0</v>
      </c>
      <c r="F236" s="2" t="inlineStr">
        <is>
          <t>5999084961695</t>
        </is>
      </c>
      <c r="G236" s="4" t="inlineStr">
        <is>
          <t>Umývateľný 4-vrstvový hliníkový sieťový tukový filter KPE 6044/A sa dokonale hodí ku všetkým členom našej rodiny kuchynských odsávačov pár TWISTER.</t>
        </is>
      </c>
    </row>
    <row r="237">
      <c r="A237" s="3" t="inlineStr">
        <is>
          <t>KPE 6038B</t>
        </is>
      </c>
      <c r="B237" s="2" t="inlineStr">
        <is>
          <t>Kuchynský odsávač pár HURRICANE 60 cm, 2 motory, čierny</t>
        </is>
      </c>
      <c r="C237" s="1" t="n">
        <v>115.9</v>
      </c>
      <c r="D237" s="7" t="n">
        <f>HYPERLINK("https://www.somogyi.sk/product/kuchynsky-odsavac-par-hurricane-60-cm-2-motory-cierny-kpe-6038b-18150","https://www.somogyi.sk/product/kuchynsky-odsavac-par-hurricane-60-cm-2-motory-cierny-kpe-6038b-18150")</f>
        <v>0.0</v>
      </c>
      <c r="E237" s="7" t="n">
        <f>HYPERLINK("https://www.somogyi.sk/productimages/product_main_images/small/18150.jpg","https://www.somogyi.sk/productimages/product_main_images/small/18150.jpg")</f>
        <v>0.0</v>
      </c>
      <c r="F237" s="2" t="inlineStr">
        <is>
          <t>5999084961725</t>
        </is>
      </c>
      <c r="G237" s="4" t="inlineStr">
        <is>
          <t>Náš dvojmotorový kuchynský odsávač pár HURRICANE KPE 6038B je dokonalou kombináciou moderného dizajnu a efektívnej prevádzky. Čierne lakované telo z oceľového plechu dodá vašej kuchyni výnimočný vzhľad. Výrobok sa ľahko ovláda pomocou tlačidiel. Prúd vzduchu možno regulovať v 3 rýchlostiach v režime odsávania alebo cirkulácie vzduchu. Tento odsávač pár je špeciálne navrhnutý na domáce použitie a ponúka celý rad praktických funkcií. Spotrebič sa dodáva s umývateľným 3-vrstvovým hliníkovým sieťovým filtrom proti mastnotám a 2-dielnou súpravou uhlíkových filtrov, ktoré prispievajú k účinnej filtrácii vzduchu a príjemnej atmosfére v kuchyni. Výrobok má šírku 60 cm a dosahuje prietok vzduchu až 380 m3/h, čím zabezpečuje účinné odsávanie pár aj počas intenzívnej kuchynskej činnosti. Pri správnej inštalácii odsávača pár je dôležité vyhľadať pomoc odborníka, aby sa zaručila bezpečná a optimálna prevádzka. S odsávačom pár KPE 6038B bude vaša kuchyňa čistá a vetraná!</t>
        </is>
      </c>
    </row>
    <row r="238">
      <c r="A238" s="3" t="inlineStr">
        <is>
          <t>KPE 60/A</t>
        </is>
      </c>
      <c r="B238" s="2" t="inlineStr">
        <is>
          <t>Hliníkový tukový filter HURRICANE a TORNADO</t>
        </is>
      </c>
      <c r="C238" s="1" t="n">
        <v>5.99</v>
      </c>
      <c r="D238" s="7" t="n">
        <f>HYPERLINK("https://www.somogyi.sk/product/hlinikovy-tukovy-filter-hurricane-a-tornado-kpe-60-a-18156","https://www.somogyi.sk/product/hlinikovy-tukovy-filter-hurricane-a-tornado-kpe-60-a-18156")</f>
        <v>0.0</v>
      </c>
      <c r="E238" s="7" t="n">
        <f>HYPERLINK("https://www.somogyi.sk/productimages/product_main_images/small/18156.jpg","https://www.somogyi.sk/productimages/product_main_images/small/18156.jpg")</f>
        <v>0.0</v>
      </c>
      <c r="F238" s="2" t="inlineStr">
        <is>
          <t>5999084961787</t>
        </is>
      </c>
      <c r="G238" s="4" t="inlineStr">
        <is>
          <t>Umývateľný 3-vrstvový tukový filter KPE 60/A s hliníkovou mriežkou sa dokonale hodí pre všetky naše odsávače pár radu HURRICANE a TORNADO.</t>
        </is>
      </c>
    </row>
    <row r="239">
      <c r="A239" s="3" t="inlineStr">
        <is>
          <t>KPE 5019/A</t>
        </is>
      </c>
      <c r="B239" s="2" t="inlineStr">
        <is>
          <t>Hliníkový tukový filter pre odsávače pár radu STORM</t>
        </is>
      </c>
      <c r="C239" s="1" t="n">
        <v>5.89</v>
      </c>
      <c r="D239" s="7" t="n">
        <f>HYPERLINK("https://www.somogyi.sk/product/hlinikovy-tukovy-filter-pre-odsavace-par-radu-storm-kpe-5019-a-18161","https://www.somogyi.sk/product/hlinikovy-tukovy-filter-pre-odsavace-par-radu-storm-kpe-5019-a-18161")</f>
        <v>0.0</v>
      </c>
      <c r="E239" s="7" t="n">
        <f>HYPERLINK("https://www.somogyi.sk/productimages/product_main_images/small/18161.jpg","https://www.somogyi.sk/productimages/product_main_images/small/18161.jpg")</f>
        <v>0.0</v>
      </c>
      <c r="F239" s="2" t="inlineStr">
        <is>
          <t>5999084961831</t>
        </is>
      </c>
      <c r="G239" s="4" t="inlineStr">
        <is>
          <t>KPE 5019/A umývateľný 3-vrstvový filter z hliníkovej sieťoviny  sa dokonale hodí ku všetkým kuchynským odsávačom pár radu STORM.</t>
        </is>
      </c>
    </row>
    <row r="240">
      <c r="A240" s="3" t="inlineStr">
        <is>
          <t>KPE 5019W</t>
        </is>
      </c>
      <c r="B240" s="2" t="inlineStr">
        <is>
          <t>Kuchynský odsávač pár STORM 50 cm, biely</t>
        </is>
      </c>
      <c r="C240" s="1" t="n">
        <v>64.99</v>
      </c>
      <c r="D240" s="7" t="n">
        <f>HYPERLINK("https://www.somogyi.sk/product/kuchynsky-odsavac-par-storm-50-cm-biely-kpe-5019w-18158","https://www.somogyi.sk/product/kuchynsky-odsavac-par-storm-50-cm-biely-kpe-5019w-18158")</f>
        <v>0.0</v>
      </c>
      <c r="E240" s="7" t="n">
        <f>HYPERLINK("https://www.somogyi.sk/productimages/product_main_images/small/18158.jpg","https://www.somogyi.sk/productimages/product_main_images/small/18158.jpg")</f>
        <v>0.0</v>
      </c>
      <c r="F240" s="2" t="inlineStr">
        <is>
          <t>5999084961800</t>
        </is>
      </c>
      <c r="G240" s="4" t="inlineStr">
        <is>
          <t>KPE 5019W z nášho radu kuchynských odsávačov pár STORM je dokonalou kombináciou moderného dizajnu a efektívnej prevádzky. Biele lakované telo z oceľového plechu dodá vašej kuchyni výnimočný vzhľad. Výrobok sa ľahko ovláda pomocou tlačidiel. Prúd vzduchu je možné regulovať v 3 rýchlostiach v režime odsávania alebo cirkulácie vzduchu. Tento odsávač pár je špeciálne navrhnutý na domáce použitie a ponúka celý rad praktických funkcií. Dodáva sa s umývateľným 3-vrstvovým hliníkovým sieťovým filtrom proti mastnotám, ktorý prispieva k účinnej filtrácii vzduchu a príjemnej atmosfére v kuchyni. Výrobok má šírku 50 cm a dosahuje prietok vzduchu až 190 m3/h, čím zabezpečuje účinné odsávanie pár aj počas intenzívnych kuchárskych činností. Pre správnu inštaláciu odsávača pár je dôležité vyhľadať pomoc odborníka, aby sa zaručila bezpečná a optimálna prevádzka. S odsávačom pár KPE 5019W bude vaša kuchyňa čistá a vetraná!</t>
        </is>
      </c>
    </row>
    <row r="241">
      <c r="A241" s="3" t="inlineStr">
        <is>
          <t>KPE 5019S</t>
        </is>
      </c>
      <c r="B241" s="2" t="inlineStr">
        <is>
          <t>Kuchynský odsávač pár STORM 50 cm, nerez</t>
        </is>
      </c>
      <c r="C241" s="1" t="n">
        <v>74.99</v>
      </c>
      <c r="D241" s="7" t="n">
        <f>HYPERLINK("https://www.somogyi.sk/product/kuchynsky-odsavac-par-storm-50-cm-nerez-kpe-5019s-18157","https://www.somogyi.sk/product/kuchynsky-odsavac-par-storm-50-cm-nerez-kpe-5019s-18157")</f>
        <v>0.0</v>
      </c>
      <c r="E241" s="7" t="n">
        <f>HYPERLINK("https://www.somogyi.sk/productimages/product_main_images/small/18157.jpg","https://www.somogyi.sk/productimages/product_main_images/small/18157.jpg")</f>
        <v>0.0</v>
      </c>
      <c r="F241" s="2" t="inlineStr">
        <is>
          <t>5999084961794</t>
        </is>
      </c>
      <c r="G241" s="4" t="inlineStr">
        <is>
          <t>Model KPE 5019S z nášho radu kuchynských odsávačov pár STORM je dokonalou kombináciou moderného dizajnu a efektívnej prevádzky. Telo z nehrdzavejúcej ocele dodá vašej kuchyni výnimočný vzhľad. Výrobok sa ľahko ovláda pomocou tlačidiel. Prúd vzduchu je možné regulovať v 3 rýchlostiach v režime odsávania alebo cirkulácie vzduchu. Tento odsávač pár je špeciálne navrhnutý na domáce použitie a ponúka celý rad praktických funkcií. Dodáva sa s umývateľným 3-vrstvovým hliníkovým sieťovým filtrom proti mastnotám, ktorý prispieva k účinnej filtrácii vzduchu a príjemnej atmosfére v kuchyni. Výrobok má šírku 50 cm a dosahuje prietok vzduchu až 190 m3/h, čím zabezpečuje účinné odsávanie pár aj počas intenzívnych kuchárskych činností. Pre správnu inštaláciu odsávača pár je dôležité vyhľadať pomoc odborníka, aby sa zaručila bezpečná a optimálna prevádzka. S odsávačom pár KPE 5019S bude vaša kuchyňa čistá a vetraná!</t>
        </is>
      </c>
    </row>
    <row r="242">
      <c r="A242" s="3" t="inlineStr">
        <is>
          <t>KPE 6020B</t>
        </is>
      </c>
      <c r="B242" s="2" t="inlineStr">
        <is>
          <t>Kuchynský odsávač pár TORNADO 60 cm, čierny</t>
        </is>
      </c>
      <c r="C242" s="1" t="n">
        <v>68.99</v>
      </c>
      <c r="D242" s="7" t="n">
        <f>HYPERLINK("https://www.somogyi.sk/product/kuchynsky-odsavac-par-tornado-60-cm-cierny-kpe-6020b-18154","https://www.somogyi.sk/product/kuchynsky-odsavac-par-tornado-60-cm-cierny-kpe-6020b-18154")</f>
        <v>0.0</v>
      </c>
      <c r="E242" s="7" t="n">
        <f>HYPERLINK("https://www.somogyi.sk/productimages/product_main_images/small/18154.jpg","https://www.somogyi.sk/productimages/product_main_images/small/18154.jpg")</f>
        <v>0.0</v>
      </c>
      <c r="F242" s="2" t="inlineStr">
        <is>
          <t>5999084961763</t>
        </is>
      </c>
      <c r="G242" s="4" t="inlineStr">
        <is>
          <t>KPE 6020B z nášho radu kuchynských odsávačov pár TORNADO je dokonalou kombináciou moderného dizajnu a efektívnej prevádzky. Čierne lakované telo z oceľového plechu dodá vašej kuchyni výnimočný vzhľad. Výrobok sa ľahko ovláda pomocou tlačidiel. Prúd vzduchu je možné regulovať v 3 rýchlostiach v režime odsávania alebo cirkulácie vzduchu. Tento odsávač pár je špeciálne navrhnutý na domáce použitie a ponúka celý rad praktických funkcií. Spotrebič sa dodáva s umývateľným 3-vrstvovým hliníkovým sieťovým filtrom proti mastnotám a 2-dielnou súpravou uhlíkových filtrov, ktoré prispievajú k účinnej filtrácii vzduchu a príjemnej atmosfére v kuchyni. Výrobok má šírku 60 cm a dosahuje prietok vzduchu až 200 m3/h, čím zabezpečuje účinné odsávanie pár aj počas intenzívnej kuchynskej činnosti. Pri správnej inštalácii odsávača pár je dôležité vyhľadať pomoc odborníka, aby sa zaručila bezpečná a optimálna prevádzka. S odsávačom pár KPE 6020B bude vaša kuchyňa čistá a vetraná!</t>
        </is>
      </c>
    </row>
    <row r="243">
      <c r="A243" s="3" t="inlineStr">
        <is>
          <t>KPE 6020W</t>
        </is>
      </c>
      <c r="B243" s="2" t="inlineStr">
        <is>
          <t>Kuchynský odsávač pár TORNADO 60 cm, biely</t>
        </is>
      </c>
      <c r="C243" s="1" t="n">
        <v>68.99</v>
      </c>
      <c r="D243" s="7" t="n">
        <f>HYPERLINK("https://www.somogyi.sk/product/kuchynsky-odsavac-par-tornado-60-cm-biely-kpe-6020w-18153","https://www.somogyi.sk/product/kuchynsky-odsavac-par-tornado-60-cm-biely-kpe-6020w-18153")</f>
        <v>0.0</v>
      </c>
      <c r="E243" s="7" t="n">
        <f>HYPERLINK("https://www.somogyi.sk/productimages/product_main_images/small/18153.jpg","https://www.somogyi.sk/productimages/product_main_images/small/18153.jpg")</f>
        <v>0.0</v>
      </c>
      <c r="F243" s="2" t="inlineStr">
        <is>
          <t>5999084961756</t>
        </is>
      </c>
      <c r="G243" s="4" t="inlineStr">
        <is>
          <t>KPE 6020W z nášho radu kuchynských odsávačov pár TORNADO je dokonalou kombináciou moderného dizajnu a efektívnej prevádzky. Biele lakované telo z oceľového plechu dodá vašej kuchyni výnimočný vzhľad. Výrobok sa ľahko ovláda pomocou tlačidiel. Prúd vzduchu je možné regulovať v 3 rýchlostiach v režime odsávania alebo cirkulácie vzduchu. Tento odsávač pár je špeciálne navrhnutý na domáce použitie a ponúka celý rad praktických funkcií. Spotrebič sa dodáva s umývateľným 3-vrstvovým hliníkovým sieťovým filtrom proti mastnotám a 2-dielnou súpravou uhlíkových filtrov, ktoré prispievajú k účinnej filtrácii vzduchu a príjemnej atmosfére v kuchyni. Výrobok má šírku 60 cm a dosahuje prietok vzduchu až 200 m3/h, čím zabezpečuje účinné odsávanie pár aj počas intenzívnej kuchynskej činnosti. Pri správnej inštalácii odsávača pár je dôležité vyhľadať pomoc odborníka, aby sa zaručila bezpečná a optimálna prevádzka. S odsávačom pár KPE 6020W bude vaša kuchyňa čistá a vetraná!</t>
        </is>
      </c>
    </row>
    <row r="244">
      <c r="A244" s="3" t="inlineStr">
        <is>
          <t>KPE 6020S</t>
        </is>
      </c>
      <c r="B244" s="2" t="inlineStr">
        <is>
          <t>Kuchynský odsávač pár TORNADO 60 cm, nerez</t>
        </is>
      </c>
      <c r="C244" s="1" t="n">
        <v>78.99</v>
      </c>
      <c r="D244" s="7" t="n">
        <f>HYPERLINK("https://www.somogyi.sk/product/kuchynsky-odsavac-par-tornado-60-cm-nerez-kpe-6020s-18152","https://www.somogyi.sk/product/kuchynsky-odsavac-par-tornado-60-cm-nerez-kpe-6020s-18152")</f>
        <v>0.0</v>
      </c>
      <c r="E244" s="7" t="n">
        <f>HYPERLINK("https://www.somogyi.sk/productimages/product_main_images/small/18152.jpg","https://www.somogyi.sk/productimages/product_main_images/small/18152.jpg")</f>
        <v>0.0</v>
      </c>
      <c r="F244" s="2" t="inlineStr">
        <is>
          <t>5999084961749</t>
        </is>
      </c>
      <c r="G244" s="4" t="inlineStr">
        <is>
          <t>KPE 6020S z nášho radu kuchynských odsávačov pár TORNADO je dokonalou kombináciou moderného dizajnu a efektívnej prevádzky. Telo z nehrdzavejúcej ocele dodá vašej kuchyni výnimočný vzhľad. Výrobok sa ľahko ovláda pomocou tlačidiel. Prúd vzduchu možno regulovať v 3 rýchlostiach v režime odsávania alebo recirkulácie. Tento odsávač pár je špeciálne navrhnutý na domáce použitie a ponúka celý rad praktických funkcií. Spotrebič sa dodáva s umývateľným 3-vrstvovým hliníkovým sieťovým filtrom proti mastnotám a 2-dielnou súpravou uhlíkových filtrov, ktoré prispievajú k účinnej filtrácii vzduchu a príjemnej atmosfére v kuchyni. Výrobok má šírku 60 cm a dosahuje prietok vzduchu až 200 m3/h, čím zabezpečuje účinné odsávanie pár aj počas intenzívnej kuchynskej činnosti. Pri správnej inštalácii odsávača pár je dôležité vyhľadať pomoc odborníka, aby sa zaručila bezpečná a optimálna prevádzka. S odsávačom pár KPE 6020S bude vaša kuchyňa čistá a vetraná!</t>
        </is>
      </c>
    </row>
    <row r="245">
      <c r="A245" s="3" t="inlineStr">
        <is>
          <t>KPE 6038W</t>
        </is>
      </c>
      <c r="B245" s="2" t="inlineStr">
        <is>
          <t>Kuchynský odsávač pár HURRICANE 60 cm, 2 motory, biely</t>
        </is>
      </c>
      <c r="C245" s="1" t="n">
        <v>106.9</v>
      </c>
      <c r="D245" s="7" t="n">
        <f>HYPERLINK("https://www.somogyi.sk/product/kuchynsky-odsavac-par-hurricane-60-cm-2-motory-biely-kpe-6038w-18149","https://www.somogyi.sk/product/kuchynsky-odsavac-par-hurricane-60-cm-2-motory-biely-kpe-6038w-18149")</f>
        <v>0.0</v>
      </c>
      <c r="E245" s="7" t="n">
        <f>HYPERLINK("https://www.somogyi.sk/productimages/product_main_images/small/18149.jpg","https://www.somogyi.sk/productimages/product_main_images/small/18149.jpg")</f>
        <v>0.0</v>
      </c>
      <c r="F245" s="2" t="inlineStr">
        <is>
          <t>5999084961718</t>
        </is>
      </c>
      <c r="G245" s="4" t="inlineStr">
        <is>
          <t>Náš kuchynský odsávač pár KPE 6038W s 2 motormi HURRICANE je dokonalou kombináciou moderného dizajnu a efektívnej prevádzky. Biele lakované telo z oceľového plechu dodá vašej kuchyni výnimočný vzhľad. Výrobok sa ľahko ovláda pomocou tlačidiel. Prúd vzduchu možno regulovať v 3 rýchlostiach v režime odsávania alebo cirkulácie vzduchu. Tento odsávač pár je špeciálne navrhnutý na domáce použitie a ponúka celý rad praktických funkcií. Spotrebič sa dodáva s umývateľným 3-vrstvovým hliníkovým sieťovým filtrom proti mastnotám a 2-dielnou súpravou uhlíkových filtrov, ktoré prispievajú k účinnej filtrácii vzduchu a príjemnej atmosfére v kuchyni. Výrobok má šírku 60 cm a dosahuje prietok vzduchu až 380 m3/h, čím zabezpečuje účinné odsávanie pár aj počas intenzívnej kuchynskej činnosti. Pri správnej inštalácii odsávača pár je dôležité vyhľadať pomoc odborníka, aby sa zaručila bezpečná a optimálna prevádzka. S odsávačom pár KPE 6038W bude vaša kuchyňa čistá a vetraná!</t>
        </is>
      </c>
    </row>
    <row r="246">
      <c r="A246" s="3" t="inlineStr">
        <is>
          <t>KPE 6038S</t>
        </is>
      </c>
      <c r="B246" s="2" t="inlineStr">
        <is>
          <t>Kuchynský odsávač pár HURRICANE 60 cm, 2 motory, nerez</t>
        </is>
      </c>
      <c r="C246" s="1" t="n">
        <v>119.9</v>
      </c>
      <c r="D246" s="7" t="n">
        <f>HYPERLINK("https://www.somogyi.sk/product/kuchynsky-odsavac-par-hurricane-60-cm-2-motory-nerez-kpe-6038s-18148","https://www.somogyi.sk/product/kuchynsky-odsavac-par-hurricane-60-cm-2-motory-nerez-kpe-6038s-18148")</f>
        <v>0.0</v>
      </c>
      <c r="E246" s="7" t="n">
        <f>HYPERLINK("https://www.somogyi.sk/productimages/product_main_images/small/18148.jpg","https://www.somogyi.sk/productimages/product_main_images/small/18148.jpg")</f>
        <v>0.0</v>
      </c>
      <c r="F246" s="2" t="inlineStr">
        <is>
          <t>5999084961701</t>
        </is>
      </c>
      <c r="G246" s="4" t="inlineStr">
        <is>
          <t>Náš dvojmotorový kuchynský odsávač pár HURRICANE KPE 6038S je dokonalou kombináciou moderného dizajnu a efektívnej prevádzky. Panelové telo z nehrdzavejúcej ocele dodá vašej kuchyni výnimočný vzhľad. Výrobok sa jednoducho ovláda pomocou tlačidiel. Prúd vzduchu možno regulovať v 3 rýchlostiach v režime odsávania alebo recirkulácie. Tento odsávač pár je špeciálne navrhnutý na domáce použitie a ponúka celý rad praktických funkcií. Spotrebič sa dodáva s umývateľným 3-vrstvovým hliníkovým sieťovým filtrom proti mastnotám a 2-dielnou súpravou uhlíkových filtrov, ktoré prispievajú k účinnej filtrácii vzduchu a príjemnej atmosfére v kuchyni. Výrobok má šírku 60 cm a dosahuje prietok vzduchu až 380 m3/h, čím zabezpečuje účinné odsávanie pár aj počas intenzívnej kuchynskej činnosti. Pri správnej inštalácii odsávača pár je dôležité vyhľadať pomoc odborníka, aby sa zaručila bezpečná a optimálna prevádzka. S odsávačom pár KPE 6038S bude vaša kuchyňa čistá a vetraná!</t>
        </is>
      </c>
    </row>
    <row r="247">
      <c r="A247" s="3" t="inlineStr">
        <is>
          <t>KPE 6044B</t>
        </is>
      </c>
      <c r="B247" s="2" t="inlineStr">
        <is>
          <t>Kuchynský odsávač pár TWISTER 60 cm, čierny</t>
        </is>
      </c>
      <c r="C247" s="1" t="n">
        <v>84.99</v>
      </c>
      <c r="D247" s="7" t="n">
        <f>HYPERLINK("https://www.somogyi.sk/product/kuchynsky-odsavac-par-twister-60-cm-cierny-kpe-6044b-18145","https://www.somogyi.sk/product/kuchynsky-odsavac-par-twister-60-cm-cierny-kpe-6044b-18145")</f>
        <v>0.0</v>
      </c>
      <c r="E247" s="7" t="n">
        <f>HYPERLINK("https://www.somogyi.sk/productimages/product_main_images/small/18145.jpg","https://www.somogyi.sk/productimages/product_main_images/small/18145.jpg")</f>
        <v>0.0</v>
      </c>
      <c r="F247" s="2" t="inlineStr">
        <is>
          <t>5999084961671</t>
        </is>
      </c>
      <c r="G247" s="4" t="inlineStr">
        <is>
          <t>KPE 6044B z nášho radu kuchynských odsávačov pár TWISTER je dokonalou kombináciou moderného dizajnu a efektívnej prevádzky. Čierna farba dodá vašej kuchyni výnimočný vzhľad. Výrobok sa ľahko ovláda pomocou naklápacích spínačov. Prúd vzduchu možno regulovať v 2 rýchlostiach v režime odsávania alebo recirkulácie. Tento odsávač pár je špeciálne navrhnutý na domáce použitie a ponúka celý rad praktických funkcií. Dodáva sa s umývateľným 4-vrstvovým hliníkovým sieťovým filtrom proti mastnotám a 2-dielnou súpravou uhlíkových filtrov, ktoré prispievajú k účinnej filtrácii vzduchu a príjemnej atmosfére v kuchyni. Výrobok má šírku 60 cm a dosahuje prietok vzduchu až 440 m3/h, čím zabezpečuje účinné odsávanie pár aj počas intenzívnej kuchynskej činnosti. Pri správnej inštalácii odsávača pár je dôležité vyhľadať pomoc odborníka, aby sa zaručila bezpečná a optimálna prevádzka. S odsávačom pár KPE 6044B bude vaša kuchyňa čistá a vetraná!</t>
        </is>
      </c>
    </row>
    <row r="248">
      <c r="A248" s="3" t="inlineStr">
        <is>
          <t>KPEHKIV</t>
        </is>
      </c>
      <c r="B248" s="2" t="inlineStr">
        <is>
          <t>Zadný vývod pre kuchynský digestor, pozinkované</t>
        </is>
      </c>
      <c r="C248" s="1" t="n">
        <v>38.99</v>
      </c>
      <c r="D248" s="7" t="n">
        <f>HYPERLINK("https://www.somogyi.sk/product/zadny-vyvod-pre-kuchynsky-digestor-pozinkovane-kpehkiv-18482","https://www.somogyi.sk/product/zadny-vyvod-pre-kuchynsky-digestor-pozinkovane-kpehkiv-18482")</f>
        <v>0.0</v>
      </c>
      <c r="E248" s="7" t="n">
        <f>HYPERLINK("https://www.somogyi.sk/productimages/product_main_images/small/18482.jpg","https://www.somogyi.sk/productimages/product_main_images/small/18482.jpg")</f>
        <v>0.0</v>
      </c>
      <c r="F248" s="2" t="inlineStr">
        <is>
          <t>5999084965006</t>
        </is>
      </c>
      <c r="G248" s="4" t="inlineStr">
        <is>
          <t xml:space="preserve"> • zadný vývod pre kuchynský digestor STORM a TORNADO, ktoré distribuuje Somogyi Elektronic 
 • valcová časť: Ø117 mm 
 • hranatá časť: 160 x 52 mm 
 • nosný panel: 188 x 160 mm</t>
        </is>
      </c>
    </row>
    <row r="249">
      <c r="A249" s="3" t="inlineStr">
        <is>
          <t>KPE 6044S</t>
        </is>
      </c>
      <c r="B249" s="2" t="inlineStr">
        <is>
          <t>Kuchynský odsávač pár TWISTER 60 cm, nerez</t>
        </is>
      </c>
      <c r="C249" s="1" t="n">
        <v>89.99</v>
      </c>
      <c r="D249" s="7" t="n">
        <f>HYPERLINK("https://www.somogyi.sk/product/kuchynsky-odsavac-par-twister-60-cm-nerez-kpe-6044s-18144","https://www.somogyi.sk/product/kuchynsky-odsavac-par-twister-60-cm-nerez-kpe-6044s-18144")</f>
        <v>0.0</v>
      </c>
      <c r="E249" s="7" t="n">
        <f>HYPERLINK("https://www.somogyi.sk/productimages/product_main_images/small/18144.jpg","https://www.somogyi.sk/productimages/product_main_images/small/18144.jpg")</f>
        <v>0.0</v>
      </c>
      <c r="F249" s="2" t="inlineStr">
        <is>
          <t>5999084961664</t>
        </is>
      </c>
      <c r="G249" s="4" t="inlineStr">
        <is>
          <t>Model KPE 6044S z nášho radu kuchynských odsávačov pár TWISTER je dokonalou kombináciou moderného dizajnu a efektívnej prevádzky. Panel z nehrdzavejúcej ocele a sivé telo dodajú vašej kuchyni výrazný vzhľad. Výrobok sa ľahko ovláda pomocou naklápacích spínačov. Prúd vzduchu možno regulovať v 2 rýchlostiach v režime odsávania alebo recirkulácie. Tento odsávač pár je špeciálne navrhnutý na domáce použitie a ponúka celý rad praktických funkcií. Dodáva sa s umývateľným 4-vrstvovým hliníkovým sieťovým filtrom proti mastnotám a 2-dielnou súpravou uhlíkových filtrov, ktoré prispievajú k účinnej filtrácii vzduchu a príjemnej atmosfére v kuchyni. Výrobok má šírku 60 cm a dosahuje prietok vzduchu až 440 m3/h, čím zabezpečuje účinné odsávanie pár aj počas intenzívnej kuchynskej činnosti. Pri správnej inštalácii odsávača pár je dôležité vyhľadať pomoc odborníka, aby sa zaručila bezpečná a optimálna prevádzka. S odsávačom pár KPE 6044S bude vaša kuchyňa čistá a vetraná!</t>
        </is>
      </c>
    </row>
    <row r="250">
      <c r="A250" s="3" t="inlineStr">
        <is>
          <t>KPE 6090/C</t>
        </is>
      </c>
      <c r="B250" s="2" t="inlineStr">
        <is>
          <t>Sada filtrov s aktívnym uhlím (2 ks) pre odsávače pár CYCLONE</t>
        </is>
      </c>
      <c r="C250" s="1" t="n">
        <v>5.59</v>
      </c>
      <c r="D250" s="7" t="n">
        <f>HYPERLINK("https://www.somogyi.sk/product/sada-filtrov-s-aktivnym-uhlim-2-ks-pre-odsavace-par-cyclone-kpe-6090-c-18142","https://www.somogyi.sk/product/sada-filtrov-s-aktivnym-uhlim-2-ks-pre-odsavace-par-cyclone-kpe-6090-c-18142")</f>
        <v>0.0</v>
      </c>
      <c r="E250" s="7" t="n">
        <f>HYPERLINK("https://www.somogyi.sk/productimages/product_main_images/small/18142.jpg","https://www.somogyi.sk/productimages/product_main_images/small/18142.jpg")</f>
        <v>0.0</v>
      </c>
      <c r="F250" s="2" t="inlineStr">
        <is>
          <t>5999084961640</t>
        </is>
      </c>
      <c r="G250" s="4" t="inlineStr">
        <is>
          <t>Sada filtrov s aktívnym uhlím KPE 6090/C (2 ks) sa dokonale hodí pre všetky naše odsávače pár radu CYCLONE.</t>
        </is>
      </c>
    </row>
    <row r="251">
      <c r="A251" s="3" t="inlineStr">
        <is>
          <t>KPE 9039G</t>
        </is>
      </c>
      <c r="B251" s="2" t="inlineStr">
        <is>
          <t>Kuchynský odsávač pár CYCLONE 90 cm, čierne sklo</t>
        </is>
      </c>
      <c r="C251" s="1" t="n">
        <v>159.9</v>
      </c>
      <c r="D251" s="7" t="n">
        <f>HYPERLINK("https://www.somogyi.sk/product/kuchynsky-odsavac-par-cyclone-90-cm-cierne-sklo-kpe-9039g-18141","https://www.somogyi.sk/product/kuchynsky-odsavac-par-cyclone-90-cm-cierne-sklo-kpe-9039g-18141")</f>
        <v>0.0</v>
      </c>
      <c r="E251" s="7" t="n">
        <f>HYPERLINK("https://www.somogyi.sk/productimages/product_main_images/small/18141.jpg","https://www.somogyi.sk/productimages/product_main_images/small/18141.jpg")</f>
        <v>0.0</v>
      </c>
      <c r="F251" s="2" t="inlineStr">
        <is>
          <t>5999084961633</t>
        </is>
      </c>
      <c r="G251" s="4" t="inlineStr">
        <is>
          <t>Model KPE 9039G z nášho radu kuchynských odsávačov pár CYCLONE je dokonalou kombináciou moderného dizajnu a efektívnej prevádzky. Vďaka čiernej oceľovej doske SPCC a elegantnému čiernemu sklenenému krytu dodá KPE 9039G vašej kuchyni výrazný vzhľad. Výrobok sa dá jednoducho ovládať dotykom alebo aj pohybom ruky. Prúd vzduchu možno regulovať v 3 rôznych nastaveniach rýchlosti v režime odsávania vzduchu alebo cirkulácie. Tento odsávač pár je špeciálne navrhnutý na domáce použitie a ponúka množstvo praktických funkcií. Súčasťou spotrebiča je aj umývateľný 5-vrstvový hliníkový sieťový tukový filter a dva uhlíkové filtre, ktoré prispievajú k účinnej filtrácii vzduchu a príjemnej atmosfére v kuchyni. Výrobok má šírku 90 cm a dosahuje prietok vzduchu až 390 m3/h, čím zabezpečuje účinné odsávanie pár aj počas intenzívnej kuchynskej činnosti. Pre správnu inštaláciu odsávača pár je dôležité vyhľadať pomoc odborníka, aby sa zaručila bezpečná a optimálna prevádzka. S odsávačom pár KPE 9039G bude vaša kuchyňa čistá a vetraná!</t>
        </is>
      </c>
    </row>
    <row r="252">
      <c r="A252" s="3" t="inlineStr">
        <is>
          <t>KPE 6039G</t>
        </is>
      </c>
      <c r="B252" s="2" t="inlineStr">
        <is>
          <t>Kuchynský odsávač pár CYCLONE 60 cm, čierne sklo</t>
        </is>
      </c>
      <c r="C252" s="1" t="n">
        <v>141.9</v>
      </c>
      <c r="D252" s="7" t="n">
        <f>HYPERLINK("https://www.somogyi.sk/product/kuchynsky-odsavac-par-cyclone-60-cm-cierne-sklo-kpe-6039g-18140","https://www.somogyi.sk/product/kuchynsky-odsavac-par-cyclone-60-cm-cierne-sklo-kpe-6039g-18140")</f>
        <v>0.0</v>
      </c>
      <c r="E252" s="7" t="n">
        <f>HYPERLINK("https://www.somogyi.sk/productimages/product_main_images/small/18140.jpg","https://www.somogyi.sk/productimages/product_main_images/small/18140.jpg")</f>
        <v>0.0</v>
      </c>
      <c r="F252" s="2" t="inlineStr">
        <is>
          <t>5999084961626</t>
        </is>
      </c>
      <c r="G252" s="4" t="inlineStr">
        <is>
          <t>Model KPE 6039G z nášho radu kuchynských odsávačov pár CYCLONE je dokonalou kombináciou moderného dizajnu a efektívnej prevádzky. Vďaka čiernej oceľovej doske SPCC a elegantnému čiernemu sklenenému krytu dodá KPE 6039G vašej kuchyni výrazný vzhľad. Výrobok sa dá jednoducho ovládať dotykom alebo aj pohybom ruky. Prúd vzduchu možno regulovať v 3 rôznych nastaveniach rýchlosti v režime odsávania vzduchu alebo cirkulácie. Tento odsávač pár je špeciálne navrhnutý na domáce použitie a ponúka množstvo praktických funkcií. Súčasťou spotrebiča je aj umývateľný 5-vrstvový hliníkový sieťový tukový filter a dva uhlíkové filtre, ktoré prispievajú k účinnej filtrácii vzduchu a príjemnej atmosfére v kuchyni. Výrobok má šírku 60 cm a dosahuje prietok vzduchu až 390 m3/h, čím zabezpečuje účinné odsávanie pár aj počas intenzívnej kuchynskej činnosti. Pre správnu inštaláciu odsávača pár je dôležité vyhľadať pomoc odborníka, aby sa zaručila bezpečná a optimálna prevádzka. S odsávačom pár KPE 6039G bude vaša kuchyňa čistá a vetraná!</t>
        </is>
      </c>
    </row>
    <row r="253">
      <c r="A253" s="3" t="inlineStr">
        <is>
          <t>KPE 6020/C</t>
        </is>
      </c>
      <c r="B253" s="2" t="inlineStr">
        <is>
          <t>Filter s aktívnym uhlím (1 kus) pre odsávače pár TORNADO</t>
        </is>
      </c>
      <c r="C253" s="1" t="n">
        <v>2.89</v>
      </c>
      <c r="D253" s="7" t="n">
        <f>HYPERLINK("https://www.somogyi.sk/product/filter-s-aktivnym-uhlim-1-kus-pre-odsavace-par-tornado-kpe-6020-c-18155","https://www.somogyi.sk/product/filter-s-aktivnym-uhlim-1-kus-pre-odsavace-par-tornado-kpe-6020-c-18155")</f>
        <v>0.0</v>
      </c>
      <c r="E253" s="7" t="n">
        <f>HYPERLINK("https://www.somogyi.sk/productimages/product_main_images/small/18155.jpg","https://www.somogyi.sk/productimages/product_main_images/small/18155.jpg")</f>
        <v>0.0</v>
      </c>
      <c r="F253" s="2" t="inlineStr">
        <is>
          <t>5999084961770</t>
        </is>
      </c>
      <c r="G253" s="4" t="inlineStr">
        <is>
          <t>Filter s aktívnym uhlím KPE 6020/C (1 kus) sa dokonale hodí pre všetky naše odsávače pár radu TORNADO.</t>
        </is>
      </c>
    </row>
    <row r="254">
      <c r="A254" s="6" t="inlineStr">
        <is>
          <t xml:space="preserve">   Domáce spotrebiče / N/A</t>
        </is>
      </c>
      <c r="B254" s="6" t="inlineStr">
        <is>
          <t/>
        </is>
      </c>
      <c r="C254" s="6" t="inlineStr">
        <is>
          <t/>
        </is>
      </c>
      <c r="D254" s="6" t="inlineStr">
        <is>
          <t/>
        </is>
      </c>
      <c r="E254" s="6" t="inlineStr">
        <is>
          <t/>
        </is>
      </c>
      <c r="F254" s="6" t="inlineStr">
        <is>
          <t/>
        </is>
      </c>
      <c r="G254" s="6" t="inlineStr">
        <is>
          <t/>
        </is>
      </c>
    </row>
    <row r="255">
      <c r="A255" s="3" t="inlineStr">
        <is>
          <t>PWO103SL</t>
        </is>
      </c>
      <c r="B255" s="2" t="inlineStr">
        <is>
          <t>Prestigio Nemi, otvárač na víno</t>
        </is>
      </c>
      <c r="C255" s="1" t="n">
        <v>28.99</v>
      </c>
      <c r="D255" s="7" t="n">
        <f>HYPERLINK("https://www.somogyi.sk/product/prestigio-nemi-otvarac-na-vino-pwo103sl-18070","https://www.somogyi.sk/product/prestigio-nemi-otvarac-na-vino-pwo103sl-18070")</f>
        <v>0.0</v>
      </c>
      <c r="E255" s="7" t="n">
        <f>HYPERLINK("https://www.somogyi.sk/productimages/product_main_images/small/18070.jpg","https://www.somogyi.sk/productimages/product_main_images/small/18070.jpg")</f>
        <v>0.0</v>
      </c>
      <c r="F255" s="2" t="inlineStr">
        <is>
          <t>8595248153349</t>
        </is>
      </c>
      <c r="G255" s="4" t="inlineStr">
        <is>
          <t xml:space="preserve"> • farba: strieborná 
 • napájanie: zabudovaný akumulátor 
 • rozmery: ∅48,2 x 183 mm 
 • kapacita: 600 mAh aku (70 otvorení s jedným nabitím)</t>
        </is>
      </c>
    </row>
    <row r="256">
      <c r="A256" s="3" t="inlineStr">
        <is>
          <t>PWA102PS</t>
        </is>
      </c>
      <c r="B256" s="2" t="inlineStr">
        <is>
          <t>Prestigio Manual Vacuum Wine Stopper</t>
        </is>
      </c>
      <c r="C256" s="1" t="n">
        <v>18.99</v>
      </c>
      <c r="D256" s="7" t="n">
        <f>HYPERLINK("https://www.somogyi.sk/product/prestigio-manual-vacuum-wine-stopper-pwa102ps-18071","https://www.somogyi.sk/product/prestigio-manual-vacuum-wine-stopper-pwa102ps-18071")</f>
        <v>0.0</v>
      </c>
      <c r="E256" s="7" t="n">
        <f>HYPERLINK("https://www.somogyi.sk/productimages/product_main_images/small/18071.jpg","https://www.somogyi.sk/productimages/product_main_images/small/18071.jpg")</f>
        <v>0.0</v>
      </c>
      <c r="F256" s="2" t="inlineStr">
        <is>
          <t>8595248154001</t>
        </is>
      </c>
      <c r="G256" s="4" t="inlineStr">
        <is>
          <t xml:space="preserve"> • farba: čierna</t>
        </is>
      </c>
    </row>
    <row r="257">
      <c r="A257" s="6" t="inlineStr">
        <is>
          <t xml:space="preserve">   Domáce spotrebiče / N/A</t>
        </is>
      </c>
      <c r="B257" s="6" t="inlineStr">
        <is>
          <t/>
        </is>
      </c>
      <c r="C257" s="6" t="inlineStr">
        <is>
          <t/>
        </is>
      </c>
      <c r="D257" s="6" t="inlineStr">
        <is>
          <t/>
        </is>
      </c>
      <c r="E257" s="6" t="inlineStr">
        <is>
          <t/>
        </is>
      </c>
      <c r="F257" s="6" t="inlineStr">
        <is>
          <t/>
        </is>
      </c>
      <c r="G257" s="6" t="inlineStr">
        <is>
          <t/>
        </is>
      </c>
    </row>
    <row r="258">
      <c r="A258" s="3" t="inlineStr">
        <is>
          <t>PHR Cuba27-8</t>
        </is>
      </c>
      <c r="B258" s="2" t="inlineStr">
        <is>
          <t>Nerozbitný pohár na vodu, 8 ks/balenie</t>
        </is>
      </c>
      <c r="C258" s="1" t="n">
        <v>3.49</v>
      </c>
      <c r="D258" s="7" t="n">
        <f>HYPERLINK("https://www.somogyi.sk/product/nerozbitny-pohar-na-vodu-8-ks-balenie-phr-cuba27-8-18169","https://www.somogyi.sk/product/nerozbitny-pohar-na-vodu-8-ks-balenie-phr-cuba27-8-18169")</f>
        <v>0.0</v>
      </c>
      <c r="E258" s="7" t="n">
        <f>HYPERLINK("https://www.somogyi.sk/productimages/product_main_images/small/18169.jpg","https://www.somogyi.sk/productimages/product_main_images/small/18169.jpg")</f>
        <v>0.0</v>
      </c>
      <c r="F258" s="2" t="inlineStr">
        <is>
          <t>2221619100013</t>
        </is>
      </c>
      <c r="G258" s="4" t="inlineStr">
        <is>
          <t xml:space="preserve"> • materiál: plast (recyklovateľný) 
 • objem: 27 cl 
 • teplotný rozsah použitia: vhodný do mikrovlnky, mrazničky, dá sa gravírovať 
 • N/A: vhodný do umývačky riadu 
 • rozmery: 90 x 72 x 67 mm 
 • hmotnosť: 67 g 
 • balenie: 8 ks / balenie 
 • ďalšie informácie: exkluzívne prevedenie • potravinárska kvalita</t>
        </is>
      </c>
    </row>
    <row r="259">
      <c r="A259" s="3" t="inlineStr">
        <is>
          <t>PHR Mojito32-4</t>
        </is>
      </c>
      <c r="B259" s="2" t="inlineStr">
        <is>
          <t>Nerozbitný kokteilový pohár, 4 ks/balenie</t>
        </is>
      </c>
      <c r="C259" s="1" t="n">
        <v>5.89</v>
      </c>
      <c r="D259" s="7" t="n">
        <f>HYPERLINK("https://www.somogyi.sk/product/nerozbitny-kokteilovy-pohar-4-ks-balenie-phr-mojito32-4-18168","https://www.somogyi.sk/product/nerozbitny-kokteilovy-pohar-4-ks-balenie-phr-mojito32-4-18168")</f>
        <v>0.0</v>
      </c>
      <c r="E259" s="7" t="n">
        <f>HYPERLINK("https://www.somogyi.sk/productimages/product_main_images/small/18168.jpg","https://www.somogyi.sk/productimages/product_main_images/small/18168.jpg")</f>
        <v>0.0</v>
      </c>
      <c r="F259" s="2" t="inlineStr">
        <is>
          <t>2221619000016</t>
        </is>
      </c>
      <c r="G259" s="4" t="inlineStr">
        <is>
          <t xml:space="preserve"> • materiál: plast (recyklovateľný) 
 • objem: 32 cl 
 • teplotný rozsah použitia: vhodný do mikrovlnky, mrazničky, dá sa gravírovať 
 • N/A: vhodný do umývačky riadu 
 • rozmery: 143 x 67 x 55 mm 
 • hmotnosť: 97 g 
 • balenie: 4 ks / balenie 
 • ďalšie informácie: exkluzívne prevedenie • potravinárska kvalita</t>
        </is>
      </c>
    </row>
    <row r="260">
      <c r="A260" s="3" t="inlineStr">
        <is>
          <t>PHR Stemless40B-4</t>
        </is>
      </c>
      <c r="B260" s="2" t="inlineStr">
        <is>
          <t>Nerozbitný veľký pohár na vodu, 4 ks/balenie</t>
        </is>
      </c>
      <c r="C260" s="1" t="n">
        <v>8.19</v>
      </c>
      <c r="D260" s="7" t="n">
        <f>HYPERLINK("https://www.somogyi.sk/product/nerozbitny-velky-pohar-na-vodu-4-ks-balenie-phr-stemless40b-4-18176","https://www.somogyi.sk/product/nerozbitny-velky-pohar-na-vodu-4-ks-balenie-phr-stemless40b-4-18176")</f>
        <v>0.0</v>
      </c>
      <c r="E260" s="7" t="n">
        <f>HYPERLINK("https://www.somogyi.sk/productimages/product_main_images/small/18176.jpg","https://www.somogyi.sk/productimages/product_main_images/small/18176.jpg")</f>
        <v>0.0</v>
      </c>
      <c r="F260" s="2" t="inlineStr">
        <is>
          <t>2221619800012</t>
        </is>
      </c>
      <c r="G260" s="4" t="inlineStr">
        <is>
          <t xml:space="preserve"> • materiál: plast (recyklovateľný) 
 • objem: 40 cl 
 • teplotný rozsah použitia: vhodný do mikrovlnky, mrazničky, dá sa gravírovať 
 • N/A: vhodný do umývačky riadu 
 • rozmery: 105 x 88 x 58 mm 
 • hmotnosť: 71 g 
 • balenie: 4 ks / balenie</t>
        </is>
      </c>
    </row>
    <row r="261">
      <c r="A261" s="3" t="inlineStr">
        <is>
          <t>PHR Reims17-6</t>
        </is>
      </c>
      <c r="B261" s="2" t="inlineStr">
        <is>
          <t>Nerozbitný pohár na šampanské, 6 ks/balenie</t>
        </is>
      </c>
      <c r="C261" s="1" t="n">
        <v>4.59</v>
      </c>
      <c r="D261" s="7" t="n">
        <f>HYPERLINK("https://www.somogyi.sk/product/nerozbitny-pohar-na-sampanske-6-ks-balenie-phr-reims17-6-18171","https://www.somogyi.sk/product/nerozbitny-pohar-na-sampanske-6-ks-balenie-phr-reims17-6-18171")</f>
        <v>0.0</v>
      </c>
      <c r="E261" s="7" t="n">
        <f>HYPERLINK("https://www.somogyi.sk/productimages/product_main_images/small/18171.jpg","https://www.somogyi.sk/productimages/product_main_images/small/18171.jpg")</f>
        <v>0.0</v>
      </c>
      <c r="F261" s="2" t="inlineStr">
        <is>
          <t>2221619300017</t>
        </is>
      </c>
      <c r="G261" s="4" t="inlineStr">
        <is>
          <t xml:space="preserve"> • materiál: plast (recyklovateľný) 
 • objem: 17 cl 
 • teplotný rozsah použitia: vhodný do mikrovlnky, mrazničky, dá sa gravírovať 
 • N/A: vhodný do umývačky riadu 
 • rozmery: 219 x 56 x 72 mm 
 • hmotnosť: 75 g 
 • balenie: 6 ks / balenie 
 • ďalšie informácie: exkluzívne prevedenie • potravinárska kvalita</t>
        </is>
      </c>
    </row>
    <row r="262">
      <c r="A262" s="3" t="inlineStr">
        <is>
          <t>PHR Stoop4-8</t>
        </is>
      </c>
      <c r="B262" s="2" t="inlineStr">
        <is>
          <t>Nerozbitný štamperlík, 8 ks/balenie</t>
        </is>
      </c>
      <c r="C262" s="1" t="n">
        <v>1.79</v>
      </c>
      <c r="D262" s="7" t="n">
        <f>HYPERLINK("https://www.somogyi.sk/product/nerozbitny-stamperlik-8-ks-balenie-phr-stoop4-8-18165","https://www.somogyi.sk/product/nerozbitny-stamperlik-8-ks-balenie-phr-stoop4-8-18165")</f>
        <v>0.0</v>
      </c>
      <c r="E262" s="7" t="n">
        <f>HYPERLINK("https://www.somogyi.sk/productimages/product_main_images/small/18165.jpg","https://www.somogyi.sk/productimages/product_main_images/small/18165.jpg")</f>
        <v>0.0</v>
      </c>
      <c r="F262" s="2" t="inlineStr">
        <is>
          <t>2221618700016</t>
        </is>
      </c>
      <c r="G262" s="4" t="inlineStr">
        <is>
          <t xml:space="preserve"> • materiál: plast (recyklovateľný) 
 • objem: 4 cl 
 • teplotný rozsah použitia: vhodný do mikrovlnky, mrazničky, dá sa gravírovať 
 • N/A: vhodný do umývačky riadu 
 • rozmery: 70 x 44 x 32 mm 
 • hmotnosť: 28 g 
 • balenie: 8 ks / balenie</t>
        </is>
      </c>
    </row>
    <row r="263">
      <c r="A263" s="3" t="inlineStr">
        <is>
          <t>PHR Tokaj38-4</t>
        </is>
      </c>
      <c r="B263" s="2" t="inlineStr">
        <is>
          <t>Nerozbitný veľký pohár na víno, 4 ks/balenie</t>
        </is>
      </c>
      <c r="C263" s="1" t="n">
        <v>10.49</v>
      </c>
      <c r="D263" s="7" t="n">
        <f>HYPERLINK("https://www.somogyi.sk/product/nerozbitny-velky-pohar-na-vino-4-ks-balenie-phr-tokaj38-4-18170","https://www.somogyi.sk/product/nerozbitny-velky-pohar-na-vino-4-ks-balenie-phr-tokaj38-4-18170")</f>
        <v>0.0</v>
      </c>
      <c r="E263" s="7" t="n">
        <f>HYPERLINK("https://www.somogyi.sk/productimages/product_main_images/small/18170.jpg","https://www.somogyi.sk/productimages/product_main_images/small/18170.jpg")</f>
        <v>0.0</v>
      </c>
      <c r="F263" s="2" t="inlineStr">
        <is>
          <t>2221619200010</t>
        </is>
      </c>
      <c r="G263" s="4" t="inlineStr">
        <is>
          <t xml:space="preserve"> • materiál: plast (recyklovateľný) 
 • objem: 38 cl 
 • teplotný rozsah použitia: vhodný do mikrovlnky, mrazničky, dá sa gravírovať 
 • N/A: vhodný do umývačky riadu 
 • rozmery: 219 x 60 x 78 mm 
 • hmotnosť: 97 g 
 • balenie: 4 ks / balenie</t>
        </is>
      </c>
    </row>
    <row r="264">
      <c r="A264" s="3" t="inlineStr">
        <is>
          <t>PHR Coffe34-4</t>
        </is>
      </c>
      <c r="B264" s="2" t="inlineStr">
        <is>
          <t>Nerozbitný pohár na kávu, 4 ks/balenie</t>
        </is>
      </c>
      <c r="C264" s="1" t="n">
        <v>7.59</v>
      </c>
      <c r="D264" s="7" t="n">
        <f>HYPERLINK("https://www.somogyi.sk/product/nerozbitny-pohar-na-kavu-4-ks-balenie-phr-coffe34-4-18175","https://www.somogyi.sk/product/nerozbitny-pohar-na-kavu-4-ks-balenie-phr-coffe34-4-18175")</f>
        <v>0.0</v>
      </c>
      <c r="E264" s="7" t="n">
        <f>HYPERLINK("https://www.somogyi.sk/productimages/product_main_images/small/18175.jpg","https://www.somogyi.sk/productimages/product_main_images/small/18175.jpg")</f>
        <v>0.0</v>
      </c>
      <c r="F264" s="2" t="inlineStr">
        <is>
          <t>2221619700015</t>
        </is>
      </c>
      <c r="G264" s="4" t="inlineStr">
        <is>
          <t xml:space="preserve"> • materiál: plast (recyklovateľný) 
 • objem: 34 cl 
 • teplotný rozsah použitia: vhodný do mikrovlnky, mrazničky, dá sa gravírovať 
 • N/A: vhodný do umývačky riadu 
 • rozmery: 115 x 84 x 55 mm 
 • hmotnosť: 112 g 
 • balenie: 4 ks / balenie 
 • ďalšie informácie: exkluzívne prevedenie • potravinárska kvalita</t>
        </is>
      </c>
    </row>
    <row r="265">
      <c r="A265" s="6" t="inlineStr">
        <is>
          <t xml:space="preserve">   Osvetlenie / LED zdroj svetla, kompaktná žiarovka, halogénová žiarovka</t>
        </is>
      </c>
      <c r="B265" s="6" t="inlineStr">
        <is>
          <t/>
        </is>
      </c>
      <c r="C265" s="6" t="inlineStr">
        <is>
          <t/>
        </is>
      </c>
      <c r="D265" s="6" t="inlineStr">
        <is>
          <t/>
        </is>
      </c>
      <c r="E265" s="6" t="inlineStr">
        <is>
          <t/>
        </is>
      </c>
      <c r="F265" s="6" t="inlineStr">
        <is>
          <t/>
        </is>
      </c>
      <c r="G265" s="6" t="inlineStr">
        <is>
          <t/>
        </is>
      </c>
    </row>
    <row r="266">
      <c r="A266" s="3" t="inlineStr">
        <is>
          <t>PREMIER-15 4200K</t>
        </is>
      </c>
      <c r="B266" s="2" t="inlineStr">
        <is>
          <t>LED zdroj svetla, 15W, E27, 4200K</t>
        </is>
      </c>
      <c r="C266" s="1" t="n">
        <v>2.89</v>
      </c>
      <c r="D266" s="7" t="n">
        <f>HYPERLINK("https://www.somogyi.sk/product/led-zdroj-svetla-15w-e27-4200k-premier-15-4200k-15030","https://www.somogyi.sk/product/led-zdroj-svetla-15w-e27-4200k-premier-15-4200k-15030")</f>
        <v>0.0</v>
      </c>
      <c r="E266" s="7" t="n">
        <f>HYPERLINK("https://www.somogyi.sk/productimages/product_main_images/small/15030.jpg","https://www.somogyi.sk/productimages/product_main_images/small/15030.jpg")</f>
        <v>0.0</v>
      </c>
      <c r="F266" s="2" t="inlineStr">
        <is>
          <t>8680985523132</t>
        </is>
      </c>
      <c r="G266" s="4" t="inlineStr">
        <is>
          <t xml:space="preserve"> • zdroj svetla: LED 
 • prevedenie zdroja svetla: hruška 
 • výkon: 15 W 
 • životnosť: 25000 h 
 • spotreba energie: 15 kWh / 1000 h 
 • objímka: E27 
 • teplota farby: 4200 K 
 • svietivosť: 1400 lm 
 • energetická trieda: A+ 
 • napájanie: 175 - 250 V~  / 50 Hz</t>
        </is>
      </c>
    </row>
    <row r="267">
      <c r="A267" s="3" t="inlineStr">
        <is>
          <t>PREMIER-18 4200K</t>
        </is>
      </c>
      <c r="B267" s="2" t="inlineStr">
        <is>
          <t>LED zdroj svetla, 18W, E27, 4200K</t>
        </is>
      </c>
      <c r="C267" s="1" t="n">
        <v>3.49</v>
      </c>
      <c r="D267" s="7" t="n">
        <f>HYPERLINK("https://www.somogyi.sk/product/led-zdroj-svetla-18w-e27-4200k-premier-18-4200k-17794","https://www.somogyi.sk/product/led-zdroj-svetla-18w-e27-4200k-premier-18-4200k-17794")</f>
        <v>0.0</v>
      </c>
      <c r="E267" s="7" t="n">
        <f>HYPERLINK("https://www.somogyi.sk/productimages/product_main_images/small/17794.jpg","https://www.somogyi.sk/productimages/product_main_images/small/17794.jpg")</f>
        <v>0.0</v>
      </c>
      <c r="F267" s="2" t="inlineStr">
        <is>
          <t>8680985556420</t>
        </is>
      </c>
      <c r="G267" s="4" t="inlineStr">
        <is>
          <t xml:space="preserve"> • zdroj svetla: SMD LED 
 • prevedenie zdroja svetla: hruška 
 • výkon: 18 W 
 • životnosť: 25.000 h 
 • objímka: E27 
 • teplota farby: 4200 K 
 • svietivosť: 1850 lm 
 • energetická trieda: F 
 • ďalšie informácie: energetický štítok produktu, ktorý možno vytlačiť 1:1, nájdete v položke ponuky „Na stiahnutie“ na webovej stránke</t>
        </is>
      </c>
    </row>
    <row r="268">
      <c r="A268" s="3" t="inlineStr">
        <is>
          <t>LS 5000SOUND</t>
        </is>
      </c>
      <c r="B268" s="2" t="inlineStr">
        <is>
          <t>LED pás blikajúci na rytmus hudby, 5 m, RGB, 150 LED</t>
        </is>
      </c>
      <c r="C268" s="1" t="n">
        <v>28.99</v>
      </c>
      <c r="D268" s="7" t="n">
        <f>HYPERLINK("https://www.somogyi.sk/product/led-pas-blikajuci-na-rytmus-hudby-5-m-rgb-150-led-ls-5000sound-16959","https://www.somogyi.sk/product/led-pas-blikajuci-na-rytmus-hudby-5-m-rgb-150-led-ls-5000sound-16959")</f>
        <v>0.0</v>
      </c>
      <c r="E268" s="7" t="n">
        <f>HYPERLINK("https://www.somogyi.sk/productimages/product_main_images/small/16959.jpg","https://www.somogyi.sk/productimages/product_main_images/small/16959.jpg")</f>
        <v>0.0</v>
      </c>
      <c r="F268" s="2" t="inlineStr">
        <is>
          <t>5999084949914</t>
        </is>
      </c>
      <c r="G268" s="4" t="inlineStr">
        <is>
          <t xml:space="preserve"> • regulácia svietivosti: áno 
 • zdroj svetla: LED 
 • počet zdrojov svetla: 150 LED 
 • životnosť: 30.000 h 
 • IP ochrana: IP44/IP20 
 • teplota farby: 6500 K 
 • napájanie: 230 V~ 50 Hz / 12 V 2 A (adaptér) 
 • rozmery: 5 m</t>
        </is>
      </c>
    </row>
    <row r="269">
      <c r="A269" s="3" t="inlineStr">
        <is>
          <t>LS 5000RGB</t>
        </is>
      </c>
      <c r="B269" s="2" t="inlineStr">
        <is>
          <t>LED pás, 5 m, RGB, 150 LED</t>
        </is>
      </c>
      <c r="C269" s="1" t="n">
        <v>28.99</v>
      </c>
      <c r="D269" s="7" t="n">
        <f>HYPERLINK("https://www.somogyi.sk/product/led-pas-5-m-rgb-150-led-ls-5000rgb-16958","https://www.somogyi.sk/product/led-pas-5-m-rgb-150-led-ls-5000rgb-16958")</f>
        <v>0.0</v>
      </c>
      <c r="E269" s="7" t="n">
        <f>HYPERLINK("https://www.somogyi.sk/productimages/product_main_images/small/16958.jpg","https://www.somogyi.sk/productimages/product_main_images/small/16958.jpg")</f>
        <v>0.0</v>
      </c>
      <c r="F269" s="2" t="inlineStr">
        <is>
          <t>5999084949907</t>
        </is>
      </c>
      <c r="G269" s="4" t="inlineStr">
        <is>
          <t xml:space="preserve"> • regulácia svietivosti: áno 
 • zdroj svetla: LED 
 • počet zdrojov svetla: 150 ks / 5m 
 • výkon: 4,8 W / m 
 • životnosť: 30000 h 
 • IP ochrana: IP44/IP20 
 • teplota farby: 6500 K 
 • svietivosť: 400 lm / m 
 • napájanie: 230 V~ 50 Hz / 12 V 2 A (adaptér) 
 • rozmery: 5 m</t>
        </is>
      </c>
    </row>
    <row r="270">
      <c r="A270" s="3" t="inlineStr">
        <is>
          <t>PREMIER-10 4200K</t>
        </is>
      </c>
      <c r="B270" s="2" t="inlineStr">
        <is>
          <t>LED zdroj svetla, 10W, E27, 4200K</t>
        </is>
      </c>
      <c r="C270" s="1" t="n">
        <v>2.29</v>
      </c>
      <c r="D270" s="7" t="n">
        <f>HYPERLINK("https://www.somogyi.sk/product/led-zdroj-svetla-10w-e27-4200k-premier-10-4200k-14677","https://www.somogyi.sk/product/led-zdroj-svetla-10w-e27-4200k-premier-10-4200k-14677")</f>
        <v>0.0</v>
      </c>
      <c r="E270" s="7" t="n">
        <f>HYPERLINK("https://www.somogyi.sk/productimages/product_main_images/small/14677.jpg","https://www.somogyi.sk/productimages/product_main_images/small/14677.jpg")</f>
        <v>0.0</v>
      </c>
      <c r="F270" s="2" t="inlineStr">
        <is>
          <t>8680985531991</t>
        </is>
      </c>
      <c r="G270" s="4" t="inlineStr">
        <is>
          <t xml:space="preserve"> • zdroj svetla: LED 
 • prevedenie zdroja svetla: hruška 
 • výkon: 10 W 
 • životnosť: 25000 h 
 • spotreba energie: 10 kWh / 1000 h 
 • objímka: E27 
 • teplota farby: 4200 K 
 • svietivosť: 1000 lm 
 • energetická trieda: A+ 
 • napájanie: 175 - 250 V~  / 50 Hz 
 • hmotnosť: 0,1 kg</t>
        </is>
      </c>
    </row>
    <row r="271">
      <c r="A271" s="3" t="inlineStr">
        <is>
          <t>PREMIER-12 4200K</t>
        </is>
      </c>
      <c r="B271" s="2" t="inlineStr">
        <is>
          <t>LED zdroj svetla, 12W, E27, 4200K</t>
        </is>
      </c>
      <c r="C271" s="1" t="n">
        <v>2.59</v>
      </c>
      <c r="D271" s="7" t="n">
        <f>HYPERLINK("https://www.somogyi.sk/product/led-zdroj-svetla-12w-e27-4200k-premier-12-4200k-15026","https://www.somogyi.sk/product/led-zdroj-svetla-12w-e27-4200k-premier-12-4200k-15026")</f>
        <v>0.0</v>
      </c>
      <c r="E271" s="7" t="n">
        <f>HYPERLINK("https://www.somogyi.sk/productimages/product_main_images/small/15026.jpg","https://www.somogyi.sk/productimages/product_main_images/small/15026.jpg")</f>
        <v>0.0</v>
      </c>
      <c r="F271" s="2" t="inlineStr">
        <is>
          <t>8680985519814</t>
        </is>
      </c>
      <c r="G271" s="4" t="inlineStr">
        <is>
          <t xml:space="preserve"> • zdroj svetla: LED 
 • prevedenie zdroja svetla: hruška 
 • výkon: 12 W 
 • životnosť: 25000 h 
 • spotreba energie: 12 kWh / 1000 h 
 • objímka: E27 
 • teplota farby: 4200 K 
 • svietivosť: 1055 lm 
 • energetická trieda: A+ 
 • napájanie: 175 - 250 V~  / 50 Hz</t>
        </is>
      </c>
    </row>
    <row r="272">
      <c r="A272" s="3" t="inlineStr">
        <is>
          <t>UFO PRO-30 6400K</t>
        </is>
      </c>
      <c r="B272" s="2" t="inlineStr">
        <is>
          <t>LED zdroj svetla,</t>
        </is>
      </c>
      <c r="C272" s="1" t="n">
        <v>11.99</v>
      </c>
      <c r="D272" s="7" t="n">
        <f>HYPERLINK("https://www.somogyi.sk/product/led-zdroj-svetla-ufo-pro-30-6400k-17798","https://www.somogyi.sk/product/led-zdroj-svetla-ufo-pro-30-6400k-17798")</f>
        <v>0.0</v>
      </c>
      <c r="E272" s="7" t="n">
        <f>HYPERLINK("https://www.somogyi.sk/productimages/product_main_images/small/17798.jpg","https://www.somogyi.sk/productimages/product_main_images/small/17798.jpg")</f>
        <v>0.0</v>
      </c>
      <c r="F272" s="2" t="inlineStr">
        <is>
          <t>8680985564050</t>
        </is>
      </c>
      <c r="G272" s="4" t="inlineStr">
        <is>
          <t xml:space="preserve"> • zdroj svetla: LED 
 • výkon: 30 W 
 • životnosť: 25.000 h 
 • spotreba energie: 30 kWh / 1000 h 
 • objímka: E27 
 • teplota farby: 6400 K 
 • svietivosť: 3050 lm 
 • napájanie: 175 - 250 V~  / 50 Hz</t>
        </is>
      </c>
    </row>
    <row r="273">
      <c r="A273" s="3" t="inlineStr">
        <is>
          <t>DARK-10 4200K</t>
        </is>
      </c>
      <c r="B273" s="2" t="inlineStr">
        <is>
          <t>LED zdroj svetla, 10W, E27, 4200K</t>
        </is>
      </c>
      <c r="C273" s="1" t="n">
        <v>6.89</v>
      </c>
      <c r="D273" s="7" t="n">
        <f>HYPERLINK("https://www.somogyi.sk/product/led-zdroj-svetla-10w-e27-4200k-dark-10-4200k-17795","https://www.somogyi.sk/product/led-zdroj-svetla-10w-e27-4200k-dark-10-4200k-17795")</f>
        <v>0.0</v>
      </c>
      <c r="E273" s="7" t="n">
        <f>HYPERLINK("https://www.somogyi.sk/productimages/product_main_images/small/17795.jpg","https://www.somogyi.sk/productimages/product_main_images/small/17795.jpg")</f>
        <v>0.0</v>
      </c>
      <c r="F273" s="2" t="inlineStr">
        <is>
          <t>8680985586281</t>
        </is>
      </c>
      <c r="G273" s="4" t="inlineStr">
        <is>
          <t xml:space="preserve"> • zdroj svetla: LED 
 • prevedenie zdroja svetla: hruška 
 • výkon: 10 W 
 • životnosť: 30.000 h 
 • spotreba energie: 10 kWh / 1000 h 
 • objímka: E27 
 • teplota farby: 4200 K 
 • svietivosť: 1032 lm 
 • energetická trieda: F 
 • ďalšie informácie: senzor svetla: zapnuie: &lt;15 lux • vypnutie: &gt;25-30 lux</t>
        </is>
      </c>
    </row>
    <row r="274">
      <c r="A274" s="3" t="inlineStr">
        <is>
          <t>LF 3/27</t>
        </is>
      </c>
      <c r="B274" s="2" t="inlineStr">
        <is>
          <t>LED zdroj svetla fakľa</t>
        </is>
      </c>
      <c r="C274" s="1" t="n">
        <v>9.89</v>
      </c>
      <c r="D274" s="7" t="n">
        <f>HYPERLINK("https://www.somogyi.sk/product/led-zdroj-svetla-fakla-lf-3-27-17855","https://www.somogyi.sk/product/led-zdroj-svetla-fakla-lf-3-27-17855")</f>
        <v>0.0</v>
      </c>
      <c r="E274" s="7" t="n">
        <f>HYPERLINK("https://www.somogyi.sk/productimages/product_main_images/small/17855.jpg","https://www.somogyi.sk/productimages/product_main_images/small/17855.jpg")</f>
        <v>0.0</v>
      </c>
      <c r="F274" s="2" t="inlineStr">
        <is>
          <t>5999084958770</t>
        </is>
      </c>
      <c r="G274" s="4" t="inlineStr">
        <is>
          <t xml:space="preserve"> • zdroj svetla: LED 
 • výkon: 3 W 
 • životnosť: 30.000 h 
 • objímka: E27 
 • teplota farby: 1600 K 
 • svietivosť: 40 lm 
 • rozmery: ∅49 x 115 mm 
 • ďalšie informácie: 3v1: plameň fakle, pulzujúce svetlo, nepretržité svetlo / funkcie, ktoré možno ovládať bežným vypínačom svetla: niekoľkokrát ho zapnite a vypnite, aby ste zmenili režim / 2v1: pri otočení nadol sa otočí aj jazyk plameňa</t>
        </is>
      </c>
    </row>
    <row r="275">
      <c r="A275" s="3" t="inlineStr">
        <is>
          <t>PREMIER-8 4200K</t>
        </is>
      </c>
      <c r="B275" s="2" t="inlineStr">
        <is>
          <t>LED zdroj svetla, 8W, E27, 4200K</t>
        </is>
      </c>
      <c r="C275" s="1" t="n">
        <v>2.09</v>
      </c>
      <c r="D275" s="7" t="n">
        <f>HYPERLINK("https://www.somogyi.sk/product/led-zdroj-svetla-8w-e27-4200k-premier-8-4200k-14676","https://www.somogyi.sk/product/led-zdroj-svetla-8w-e27-4200k-premier-8-4200k-14676")</f>
        <v>0.0</v>
      </c>
      <c r="E275" s="7" t="n">
        <f>HYPERLINK("https://www.somogyi.sk/productimages/product_main_images/small/14676.jpg","https://www.somogyi.sk/productimages/product_main_images/small/14676.jpg")</f>
        <v>0.0</v>
      </c>
      <c r="F275" s="2" t="inlineStr">
        <is>
          <t>8680985532189</t>
        </is>
      </c>
      <c r="G275" s="4" t="inlineStr">
        <is>
          <t xml:space="preserve"> • zdroj svetla: LED 
 • prevedenie zdroja svetla: hruška 
 • výkon: 8 W 
 • životnosť: 25000 h 
 • spotreba energie: 8 kWh / 1000 h 
 • objímka: E27 
 • teplota farby: 4200 K 
 • svietivosť: 850 lm 
 • energetická trieda: A+ 
 • napájanie: 175 - 250 V~  / 50 Hz 
 • hmotnosť: 0,1 kg</t>
        </is>
      </c>
    </row>
    <row r="276">
      <c r="A276" s="6" t="inlineStr">
        <is>
          <t xml:space="preserve">   Osvetlenie / Solárne osvetlenie</t>
        </is>
      </c>
      <c r="B276" s="6" t="inlineStr">
        <is>
          <t/>
        </is>
      </c>
      <c r="C276" s="6" t="inlineStr">
        <is>
          <t/>
        </is>
      </c>
      <c r="D276" s="6" t="inlineStr">
        <is>
          <t/>
        </is>
      </c>
      <c r="E276" s="6" t="inlineStr">
        <is>
          <t/>
        </is>
      </c>
      <c r="F276" s="6" t="inlineStr">
        <is>
          <t/>
        </is>
      </c>
      <c r="G276" s="6" t="inlineStr">
        <is>
          <t/>
        </is>
      </c>
    </row>
    <row r="277">
      <c r="A277" s="3" t="inlineStr">
        <is>
          <t>MX 618P</t>
        </is>
      </c>
      <c r="B277" s="2" t="inlineStr">
        <is>
          <t>Solárna záhradná dekorácia</t>
        </is>
      </c>
      <c r="C277" s="1" t="n">
        <v>5.39</v>
      </c>
      <c r="D277" s="7" t="n">
        <f>HYPERLINK("https://www.somogyi.sk/product/solarna-zahradna-dekoracia-mx-618p-16706","https://www.somogyi.sk/product/solarna-zahradna-dekoracia-mx-618p-16706")</f>
        <v>0.0</v>
      </c>
      <c r="E277" s="7" t="n">
        <f>HYPERLINK("https://www.somogyi.sk/productimages/product_main_images/small/16706.jpg","https://www.somogyi.sk/productimages/product_main_images/small/16706.jpg")</f>
        <v>0.0</v>
      </c>
      <c r="F277" s="2" t="inlineStr">
        <is>
          <t>5999084947385</t>
        </is>
      </c>
      <c r="G277" s="4" t="inlineStr">
        <is>
          <t xml:space="preserve"> • materiál: plast 
 • farba LED: biela 
 • počet LED: 1 ks Ø5 mm biela LED 
 • za- / vypínanie: automatický 
 • možnosť zapichnutia do zeme: áno 
 • napájanie: 1,2 V / 200 mAh / AA (NiMH) 
 • rozmery: ~50 cm</t>
        </is>
      </c>
    </row>
    <row r="278">
      <c r="A278" s="3" t="inlineStr">
        <is>
          <t>MX 760</t>
        </is>
      </c>
      <c r="B278" s="2" t="inlineStr">
        <is>
          <t>Solárne záhradné svietidlo</t>
        </is>
      </c>
      <c r="C278" s="1" t="n">
        <v>3.39</v>
      </c>
      <c r="D278" s="7" t="n">
        <f>HYPERLINK("https://www.somogyi.sk/product/solarne-zahradne-svietidlo-mx-760-8876","https://www.somogyi.sk/product/solarne-zahradne-svietidlo-mx-760-8876")</f>
        <v>0.0</v>
      </c>
      <c r="E278" s="7" t="n">
        <f>HYPERLINK("https://www.somogyi.sk/productimages/product_main_images/small/08876.jpg","https://www.somogyi.sk/productimages/product_main_images/small/08876.jpg")</f>
        <v>0.0</v>
      </c>
      <c r="F278" s="2" t="inlineStr">
        <is>
          <t>5998312777565</t>
        </is>
      </c>
      <c r="G278" s="4" t="inlineStr">
        <is>
          <t xml:space="preserve"> • materiál: plast 
 • farba LED: biela 
 • počet LED: 1 
 • za- / vypínanie: automatické 
 • možnosť zapichnutia do zeme: áno 
 • možnosť montáže na stenu: nie 
 • závesné: nie 
 • možnosť umiestnenia na stôl: nie 
 • zabudovateľné: nie 
 • napájanie: vymeniteľný (1,2 V / 600 mAh) AA NiMH akumulátor 
 • rozmery: Ø12,5 x 45,5 cm 
 • hmotnosť: 0,3 kg</t>
        </is>
      </c>
    </row>
    <row r="279">
      <c r="A279" s="3" t="inlineStr">
        <is>
          <t>MX 651</t>
        </is>
      </c>
      <c r="B279" s="2" t="inlineStr">
        <is>
          <t>Solárne záhradné svietidlo</t>
        </is>
      </c>
      <c r="C279" s="1" t="n">
        <v>12.99</v>
      </c>
      <c r="D279" s="7" t="n">
        <f>HYPERLINK("https://www.somogyi.sk/product/solarne-zahradne-svietidlo-mx-651-17600","https://www.somogyi.sk/product/solarne-zahradne-svietidlo-mx-651-17600")</f>
        <v>0.0</v>
      </c>
      <c r="E279" s="7" t="n">
        <f>HYPERLINK("https://www.somogyi.sk/productimages/product_main_images/small/17600.jpg","https://www.somogyi.sk/productimages/product_main_images/small/17600.jpg")</f>
        <v>0.0</v>
      </c>
      <c r="F279" s="2" t="inlineStr">
        <is>
          <t>5999084956226</t>
        </is>
      </c>
      <c r="G279" s="4" t="inlineStr">
        <is>
          <t xml:space="preserve"> • materiál: plast 
 • farba LED: teplá biela 
 • počet LED: 1 ks 
 • za- / vypínanie: automatický 
 • napájanie: vymeniteľný (3,2 V / 600 mAh) LiFePO4 akumulátor 
 • rozmery: 10 x 10 x 10 cm</t>
        </is>
      </c>
    </row>
    <row r="280">
      <c r="A280" s="3" t="inlineStr">
        <is>
          <t>FLP30SOLAR</t>
        </is>
      </c>
      <c r="B280" s="2" t="inlineStr">
        <is>
          <t>Solárny LED reflektor so senzorom pohybu</t>
        </is>
      </c>
      <c r="C280" s="1" t="n">
        <v>10.49</v>
      </c>
      <c r="D280" s="7" t="n">
        <f>HYPERLINK("https://www.somogyi.sk/product/solarny-led-reflektor-so-senzorom-pohybu-flp30solar-18344","https://www.somogyi.sk/product/solarny-led-reflektor-so-senzorom-pohybu-flp30solar-18344")</f>
        <v>0.0</v>
      </c>
      <c r="E280" s="7" t="n">
        <f>HYPERLINK("https://www.somogyi.sk/productimages/product_main_images/small/18344.jpg","https://www.somogyi.sk/productimages/product_main_images/small/18344.jpg")</f>
        <v>0.0</v>
      </c>
      <c r="F280" s="2" t="inlineStr">
        <is>
          <t>5999084963620</t>
        </is>
      </c>
      <c r="G280" s="4" t="inlineStr">
        <is>
          <t xml:space="preserve"> • farba LED: studená biela 
 • počet LED: 2 ks 
 • za- / vypínanie: automatický 
 • možnosť montáže na stenu: áno 
 • napájanie: 1x 3.7 V 14500 Li-ion 500 mAh akumulátor 
 • rozmery: 8 x 5 x 17 cm 
 • svietivosť: 30 lm</t>
        </is>
      </c>
    </row>
    <row r="281">
      <c r="A281" s="3" t="inlineStr">
        <is>
          <t>MX 811/4</t>
        </is>
      </c>
      <c r="B281" s="2" t="inlineStr">
        <is>
          <t xml:space="preserve">Solárne záhradné svietidlo, kovové, farbu meniace, 4ks </t>
        </is>
      </c>
      <c r="C281" s="1" t="n">
        <v>13.99</v>
      </c>
      <c r="D281" s="7" t="n">
        <f>HYPERLINK("https://www.somogyi.sk/product/solarne-zahradne-svietidlo-kovove-farbu-meniace-4ks-mx-811-4-14415","https://www.somogyi.sk/product/solarne-zahradne-svietidlo-kovove-farbu-meniace-4ks-mx-811-4-14415")</f>
        <v>0.0</v>
      </c>
      <c r="E281" s="7" t="n">
        <f>HYPERLINK("https://www.somogyi.sk/productimages/product_main_images/small/14415.jpg","https://www.somogyi.sk/productimages/product_main_images/small/14415.jpg")</f>
        <v>0.0</v>
      </c>
      <c r="F281" s="2" t="inlineStr">
        <is>
          <t>5999084924638</t>
        </is>
      </c>
      <c r="G281" s="4" t="inlineStr">
        <is>
          <t xml:space="preserve"> • materiál: kov / sklo / plast 
 • farba LED: farbu meniaca 
 • počet LED: 1 
 • za- / vypínanie: automatické 
 • možnosť zapichnutia do zeme: áno 
 • možnosť montáže na stenu: nie 
 • závesné: nie 
 • možnosť umiestnenia na stôl: nie 
 • zabudovateľné: nie 
 • napájanie: vymeniteľný (1,2 V / 300 mAh) AAA NiMH akumulátor 
 • rozmery: Ø8 x 37 cm 
 • hmotnosť: 0,8 kg</t>
        </is>
      </c>
    </row>
    <row r="282">
      <c r="A282" s="3" t="inlineStr">
        <is>
          <t>MX 802/4</t>
        </is>
      </c>
      <c r="B282" s="2" t="inlineStr">
        <is>
          <t>Solárne záhradné svietidlo, 4ks</t>
        </is>
      </c>
      <c r="C282" s="1" t="n">
        <v>9.99</v>
      </c>
      <c r="D282" s="7" t="n">
        <f>HYPERLINK("https://www.somogyi.sk/product/solarne-zahradne-svietidlo-4ks-mx-802-4-14410","https://www.somogyi.sk/product/solarne-zahradne-svietidlo-4ks-mx-802-4-14410")</f>
        <v>0.0</v>
      </c>
      <c r="E282" s="7" t="n">
        <f>HYPERLINK("https://www.somogyi.sk/productimages/product_main_images/small/14410.jpg","https://www.somogyi.sk/productimages/product_main_images/small/14410.jpg")</f>
        <v>0.0</v>
      </c>
      <c r="F282" s="2" t="inlineStr">
        <is>
          <t>5999084924584</t>
        </is>
      </c>
      <c r="G282" s="4" t="inlineStr">
        <is>
          <t xml:space="preserve"> • materiál: kov / sklo 
 • farba LED: biela 
 • počet LED: 1 
 • za- / vypínanie: automatické 
 • možnosť zapichnutia do zeme: áno 
 • možnosť montáže na stenu: nie 
 • závesné: nie 
 • možnosť umiestnenia na stôl: nie 
 • zabudovateľné: nie 
 • napájanie: vymeniteľný (1,2 V / 200 mAh) AAA NiMH akumulátor 
 • rozmery: Ø8 x 34,5 cm 
 • hmotnosť: 0,4 kg</t>
        </is>
      </c>
    </row>
    <row r="283">
      <c r="A283" s="3" t="inlineStr">
        <is>
          <t>MX 715D</t>
        </is>
      </c>
      <c r="B283" s="2" t="inlineStr">
        <is>
          <t>Solárne záhradné svietidlo, kovové</t>
        </is>
      </c>
      <c r="C283" s="1" t="n">
        <v>4.79</v>
      </c>
      <c r="D283" s="7" t="n">
        <f>HYPERLINK("https://www.somogyi.sk/product/solarne-zahradne-svietidlo-kovove-mx-715d-11810","https://www.somogyi.sk/product/solarne-zahradne-svietidlo-kovove-mx-715d-11810")</f>
        <v>0.0</v>
      </c>
      <c r="E283" s="7" t="n">
        <f>HYPERLINK("https://www.somogyi.sk/productimages/product_main_images/small/11810.jpg","https://www.somogyi.sk/productimages/product_main_images/small/11810.jpg")</f>
        <v>0.0</v>
      </c>
      <c r="F283" s="2" t="inlineStr">
        <is>
          <t>5999084900229</t>
        </is>
      </c>
      <c r="G283" s="4" t="inlineStr">
        <is>
          <t xml:space="preserve"> • materiál: kov, plast 
 • farba LED: biela 
 • počet LED: 1 
 • za- / vypínanie: automatické 
 • možnosť zapichnutia do zeme: áno 
 • možnosť montáže na stenu: nie 
 • závesné: nie 
 • možnosť umiestnenia na stôl: nie 
 • zabudovateľné: nie 
 • napájanie: vymeniteľný (1,2 V / 600 mAh) AA NiMH akumulátor 
 • rozmery: Ø12 x 40 cm 
 • hmotnosť: 0,45 kg</t>
        </is>
      </c>
    </row>
    <row r="284">
      <c r="A284" s="3" t="inlineStr">
        <is>
          <t>MX 200</t>
        </is>
      </c>
      <c r="B284" s="2" t="inlineStr">
        <is>
          <t>Solárne záhradné svietidlo, fakľa</t>
        </is>
      </c>
      <c r="C284" s="1" t="n">
        <v>10.99</v>
      </c>
      <c r="D284" s="7" t="n">
        <f>HYPERLINK("https://www.somogyi.sk/product/solarne-zahradne-svietidlo-fakla-mx-200-16743","https://www.somogyi.sk/product/solarne-zahradne-svietidlo-fakla-mx-200-16743")</f>
        <v>0.0</v>
      </c>
      <c r="E284" s="7" t="n">
        <f>HYPERLINK("https://www.somogyi.sk/productimages/product_main_images/small/16743.jpg","https://www.somogyi.sk/productimages/product_main_images/small/16743.jpg")</f>
        <v>0.0</v>
      </c>
      <c r="F284" s="2" t="inlineStr">
        <is>
          <t>5999084947750</t>
        </is>
      </c>
      <c r="G284" s="4" t="inlineStr">
        <is>
          <t xml:space="preserve"> • materiál: plast 
 • farba LED: žltá 
 • počet LED: 12 ks 
 • za- / vypínanie: automatický 
 • možnosť zapichnutia do zeme: áno 
 • možnosť montáže na stenu: áno 
 • závesné: nie 
 • možnosť umiestnenia na stôl: áno 
 • zabudovateľné: nie 
 • napájanie: zabudovaný (1,2 V / 300 mAh) NiMH akumulátor 
 • rozmery: ∅10 x 51 cm</t>
        </is>
      </c>
    </row>
    <row r="285">
      <c r="A285" s="3" t="inlineStr">
        <is>
          <t>MXNV3</t>
        </is>
      </c>
      <c r="B285" s="2" t="inlineStr">
        <is>
          <t>Slnečná plachta s trblietavou oblohou</t>
        </is>
      </c>
      <c r="C285" s="1" t="n">
        <v>42.99</v>
      </c>
      <c r="D285" s="7" t="n">
        <f>HYPERLINK("https://www.somogyi.sk/product/slnecna-plachta-s-trblietavou-oblohou-mxnv3-18335","https://www.somogyi.sk/product/slnecna-plachta-s-trblietavou-oblohou-mxnv3-18335")</f>
        <v>0.0</v>
      </c>
      <c r="E285" s="7" t="n">
        <f>HYPERLINK("https://www.somogyi.sk/productimages/product_main_images/small/18335.jpg","https://www.somogyi.sk/productimages/product_main_images/small/18335.jpg")</f>
        <v>0.0</v>
      </c>
      <c r="F285" s="2" t="inlineStr">
        <is>
          <t>5999084963538</t>
        </is>
      </c>
      <c r="G285" s="4" t="inlineStr">
        <is>
          <t xml:space="preserve"> • počet LED: 140 ks micro LED 
 •  
 • napájanie: 1x 1,2V AA MiMH 1000 mAh akumulátor 
 • rozmery: 3 x 3 x 3 m 
 • hmotnosť: 160 g/m2 
 • teplota farby: 2700-2900 K 
 • ochrana proti vode: IP44 
 •  
 • balenie: 1 ks (nylonová taška so zipsom)</t>
        </is>
      </c>
    </row>
    <row r="286">
      <c r="A286" s="3" t="inlineStr">
        <is>
          <t>MX 808</t>
        </is>
      </c>
      <c r="B286" s="2" t="inlineStr">
        <is>
          <t>Solárne svietidlo, kovové</t>
        </is>
      </c>
      <c r="C286" s="1" t="n">
        <v>4.09</v>
      </c>
      <c r="D286" s="7" t="n">
        <f>HYPERLINK("https://www.somogyi.sk/product/solarne-svietidlo-kovove-mx-808-17100","https://www.somogyi.sk/product/solarne-svietidlo-kovove-mx-808-17100")</f>
        <v>0.0</v>
      </c>
      <c r="E286" s="7" t="n">
        <f>HYPERLINK("https://www.somogyi.sk/productimages/product_main_images/small/17100.jpg","https://www.somogyi.sk/productimages/product_main_images/small/17100.jpg")</f>
        <v>0.0</v>
      </c>
      <c r="F286" s="2" t="inlineStr">
        <is>
          <t>5999084951320</t>
        </is>
      </c>
      <c r="G286" s="4" t="inlineStr">
        <is>
          <t xml:space="preserve"> • materiál: kov / plast 
 • farba LED: studená biela 
 • počet LED: 1 ks 
 • za- / vypínanie: automatický 
 • možnosť zapichnutia do zeme: áno 
 • napájanie: zabudovaný (1,2 V / 600 mAh) NiMH akumulátor 
 • rozmery: ∅10,5 x 37,5 cm</t>
        </is>
      </c>
    </row>
    <row r="287">
      <c r="A287" s="3" t="inlineStr">
        <is>
          <t>MX 625</t>
        </is>
      </c>
      <c r="B287" s="2" t="inlineStr">
        <is>
          <t>Solárna dekorácia so sklenenou guľou a farbu meniacou LED</t>
        </is>
      </c>
      <c r="C287" s="1" t="n">
        <v>6.39</v>
      </c>
      <c r="D287" s="7" t="n">
        <f>HYPERLINK("https://www.somogyi.sk/product/solarna-dekoracia-so-sklenenou-gulou-a-farbu-meniacou-led-mx-625-17169","https://www.somogyi.sk/product/solarna-dekoracia-so-sklenenou-gulou-a-farbu-meniacou-led-mx-625-17169")</f>
        <v>0.0</v>
      </c>
      <c r="E287" s="7" t="n">
        <f>HYPERLINK("https://www.somogyi.sk/productimages/product_main_images/small/17169.jpg","https://www.somogyi.sk/productimages/product_main_images/small/17169.jpg")</f>
        <v>0.0</v>
      </c>
      <c r="F287" s="2" t="inlineStr">
        <is>
          <t>5999084952013</t>
        </is>
      </c>
      <c r="G287" s="4" t="inlineStr">
        <is>
          <t xml:space="preserve"> • farba LED: farbu meniaca 
 • počet LED: 1 ks 
 • za- / vypínanie: automatický 
 • možnosť zapichnutia do zeme: áno 
 • napájanie: zabudovaný (1,2 V / 600 mAh) NiMH akumulátor 
 • rozmery: ∅8 x 60 cm</t>
        </is>
      </c>
    </row>
    <row r="288">
      <c r="A288" s="3" t="inlineStr">
        <is>
          <t>MX 762/2</t>
        </is>
      </c>
      <c r="B288" s="2" t="inlineStr">
        <is>
          <t>Solárne záhradné svietidlo (2 ks)</t>
        </is>
      </c>
      <c r="C288" s="1" t="n">
        <v>11.99</v>
      </c>
      <c r="D288" s="7" t="n">
        <f>HYPERLINK("https://www.somogyi.sk/product/solarne-zahradne-svietidlo-2-ks-mx-762-2-17979","https://www.somogyi.sk/product/solarne-zahradne-svietidlo-2-ks-mx-762-2-17979")</f>
        <v>0.0</v>
      </c>
      <c r="E288" s="7" t="n">
        <f>HYPERLINK("https://www.somogyi.sk/productimages/product_main_images/small/17979.jpg","https://www.somogyi.sk/productimages/product_main_images/small/17979.jpg")</f>
        <v>0.0</v>
      </c>
      <c r="F288" s="2" t="inlineStr">
        <is>
          <t>5999084960018</t>
        </is>
      </c>
      <c r="G288" s="4" t="inlineStr">
        <is>
          <t xml:space="preserve"> • materiál: kovový / plastový 
 • počet LED: 1 ks 
 • za- / vypínanie: manuálne / automatické 
 • možnosť zapichnutia do zeme: áno 
 • napájanie: zabudovaný (1,2 V / 200 mAh) / AA NiMH akumulátor 
 • rozmery: Ø12,5 x 36,6 cm 
 • N/A: cca. 6 h / noc</t>
        </is>
      </c>
    </row>
    <row r="289">
      <c r="A289" s="3" t="inlineStr">
        <is>
          <t>MX 655/2</t>
        </is>
      </c>
      <c r="B289" s="2" t="inlineStr">
        <is>
          <t>Solárne nástenné svietidlo (2 ks)</t>
        </is>
      </c>
      <c r="C289" s="1" t="n">
        <v>20.99</v>
      </c>
      <c r="D289" s="7" t="n">
        <f>HYPERLINK("https://www.somogyi.sk/product/solarne-nastenne-svietidlo-2-ks-mx-655-2-17981","https://www.somogyi.sk/product/solarne-nastenne-svietidlo-2-ks-mx-655-2-17981")</f>
        <v>0.0</v>
      </c>
      <c r="E289" s="7" t="n">
        <f>HYPERLINK("https://www.somogyi.sk/productimages/product_main_images/small/17981.jpg","https://www.somogyi.sk/productimages/product_main_images/small/17981.jpg")</f>
        <v>0.0</v>
      </c>
      <c r="F289" s="2" t="inlineStr">
        <is>
          <t>5999084960032</t>
        </is>
      </c>
      <c r="G289" s="4" t="inlineStr">
        <is>
          <t xml:space="preserve"> • materiál: hliník, sklo 
 • farba LED: teplá biela 
 • počet LED: 2 ks 
 • za- / vypínanie: automatický 
 • možnosť montáže na stenu: áno 
 • napájanie: zabudovaný akumulátor: 1,2 V / 1000 mAh / AA (Ni-MH) 
 • rozmery: 8,2 x 5,2 x 20,6 cm 
 • N/A: cca. 6 h / noc</t>
        </is>
      </c>
    </row>
    <row r="290">
      <c r="A290" s="3" t="inlineStr">
        <is>
          <t>MX 807/4</t>
        </is>
      </c>
      <c r="B290" s="2" t="inlineStr">
        <is>
          <t>Solárne záhradné svietidlo</t>
        </is>
      </c>
      <c r="C290" s="1" t="n">
        <v>11.99</v>
      </c>
      <c r="D290" s="7" t="n">
        <f>HYPERLINK("https://www.somogyi.sk/product/solarne-zahradne-svietidlo-mx-807-4-14414","https://www.somogyi.sk/product/solarne-zahradne-svietidlo-mx-807-4-14414")</f>
        <v>0.0</v>
      </c>
      <c r="E290" s="7" t="n">
        <f>HYPERLINK("https://www.somogyi.sk/productimages/product_main_images/small/14414.jpg","https://www.somogyi.sk/productimages/product_main_images/small/14414.jpg")</f>
        <v>0.0</v>
      </c>
      <c r="F290" s="2" t="inlineStr">
        <is>
          <t>5999084924621</t>
        </is>
      </c>
      <c r="G290" s="4" t="inlineStr">
        <is>
          <t xml:space="preserve"> • materiál: kov / plast 
 • farba LED: biela 
 • počet LED: 1 
 • za- / vypínanie: automatické 
 • možnosť zapichnutia do zeme: áno 
 • možnosť montáže na stenu: nie 
 • závesné: nie 
 • možnosť umiestnenia na stôl: nie 
 • zabudovateľné: nie 
 • napájanie: vymeniteľný (1,2 V / 200 mAh) AAA NiMH akumulátor 
 • rozmery: Ø8 x 37,5 cm 
 • hmotnosť: 0,5 kg</t>
        </is>
      </c>
    </row>
    <row r="291">
      <c r="A291" s="3" t="inlineStr">
        <is>
          <t>MX 720</t>
        </is>
      </c>
      <c r="B291" s="2" t="inlineStr">
        <is>
          <t>Solárne záhradné svietidlo</t>
        </is>
      </c>
      <c r="C291" s="1" t="n">
        <v>2.59</v>
      </c>
      <c r="D291" s="7" t="n">
        <f>HYPERLINK("https://www.somogyi.sk/product/solarne-zahradne-svietidlo-mx-720-14409","https://www.somogyi.sk/product/solarne-zahradne-svietidlo-mx-720-14409")</f>
        <v>0.0</v>
      </c>
      <c r="E291" s="7" t="n">
        <f>HYPERLINK("https://www.somogyi.sk/productimages/product_main_images/small/14409.jpg","https://www.somogyi.sk/productimages/product_main_images/small/14409.jpg")</f>
        <v>0.0</v>
      </c>
      <c r="F291" s="2" t="inlineStr">
        <is>
          <t>5999084924577</t>
        </is>
      </c>
      <c r="G291" s="4" t="inlineStr">
        <is>
          <t xml:space="preserve"> • materiál: plast 
 • farba LED: biela 
 • počet LED: 1 
 • za- / vypínanie: automatické 
 • možnosť zapichnutia do zeme: áno 
 • možnosť montáže na stenu: nie 
 • závesné: nie 
 • možnosť umiestnenia na stôl: nie 
 • zabudovateľné: nie 
 • napájanie: vymeniteľný (1,2 V / 200 mAh) AAA NiMH akumulátor 
 • rozmery: Ø4,9 x 68 cm 
 • hmotnosť: 1,1 kg</t>
        </is>
      </c>
    </row>
    <row r="292">
      <c r="A292" s="3" t="inlineStr">
        <is>
          <t>MX 300</t>
        </is>
      </c>
      <c r="B292" s="2" t="inlineStr">
        <is>
          <t>Solárna plastová fakľa</t>
        </is>
      </c>
      <c r="C292" s="1" t="n">
        <v>20.99</v>
      </c>
      <c r="D292" s="7" t="n">
        <f>HYPERLINK("https://www.somogyi.sk/product/solarna-plastova-fakla-mx-300-16278","https://www.somogyi.sk/product/solarna-plastova-fakla-mx-300-16278")</f>
        <v>0.0</v>
      </c>
      <c r="E292" s="7" t="n">
        <f>HYPERLINK("https://www.somogyi.sk/productimages/product_main_images/small/16278.jpg","https://www.somogyi.sk/productimages/product_main_images/small/16278.jpg")</f>
        <v>0.0</v>
      </c>
      <c r="F292" s="2" t="inlineStr">
        <is>
          <t>5999084943103</t>
        </is>
      </c>
      <c r="G292" s="4" t="inlineStr">
        <is>
          <t xml:space="preserve"> • materiál: plast 
 • farba LED: žltá 
 • počet LED: 72 ks 
 • za- / vypínanie: automatický 
 • možnosť zapichnutia do zeme: áno 
 • napájanie: zabudovaný (3,7 V / 1200 mAh) akumulátor 
 • rozmery: ∅13,5 x 78 cm</t>
        </is>
      </c>
    </row>
    <row r="293">
      <c r="A293" s="3" t="inlineStr">
        <is>
          <t>MX 618K</t>
        </is>
      </c>
      <c r="B293" s="2" t="inlineStr">
        <is>
          <t>Solárna záhradná dekorácia</t>
        </is>
      </c>
      <c r="C293" s="1" t="n">
        <v>5.39</v>
      </c>
      <c r="D293" s="7" t="n">
        <f>HYPERLINK("https://www.somogyi.sk/product/solarna-zahradna-dekoracia-mx-618k-16707","https://www.somogyi.sk/product/solarna-zahradna-dekoracia-mx-618k-16707")</f>
        <v>0.0</v>
      </c>
      <c r="E293" s="7" t="n">
        <f>HYPERLINK("https://www.somogyi.sk/productimages/product_main_images/small/16707.jpg","https://www.somogyi.sk/productimages/product_main_images/small/16707.jpg")</f>
        <v>0.0</v>
      </c>
      <c r="F293" s="2" t="inlineStr">
        <is>
          <t>5999084947392</t>
        </is>
      </c>
      <c r="G293" s="4" t="inlineStr">
        <is>
          <t xml:space="preserve"> • materiál: plast 
 • farba LED: biela 
 • počet LED: 1 ks Ø5 mm biela LED 
 • za- / vypínanie: automatický 
 • možnosť zapichnutia do zeme: áno 
 • napájanie: 1,2 V / 200 mAh / AA (NiMH) 
 • rozmery: ~50 cm</t>
        </is>
      </c>
    </row>
    <row r="294">
      <c r="A294" s="3" t="inlineStr">
        <is>
          <t>MX645</t>
        </is>
      </c>
      <c r="B294" s="2" t="inlineStr">
        <is>
          <t>Solárne záhradné svietidlo, lienka</t>
        </is>
      </c>
      <c r="C294" s="1" t="n">
        <v>6.29</v>
      </c>
      <c r="D294" s="7" t="n">
        <f>HYPERLINK("https://www.somogyi.sk/product/solarne-zahradne-svietidlo-lienka-mx645-18338","https://www.somogyi.sk/product/solarne-zahradne-svietidlo-lienka-mx645-18338")</f>
        <v>0.0</v>
      </c>
      <c r="E294" s="7" t="n">
        <f>HYPERLINK("https://www.somogyi.sk/productimages/product_main_images/small/18338.jpg","https://www.somogyi.sk/productimages/product_main_images/small/18338.jpg")</f>
        <v>0.0</v>
      </c>
      <c r="F294" s="2" t="inlineStr">
        <is>
          <t>5999084963569</t>
        </is>
      </c>
      <c r="G294" s="4" t="inlineStr">
        <is>
          <t xml:space="preserve"> • farba LED: studená biela 
 • počet LED: 2 ks 
 • za- / vypínanie: automatický 
 • napájanie: zabudovaný 1,2V 40 mAh 1/3AAA (Ni-MH) akumulátor 
 • rozmery: 8,5 x (16,5/26,5) x 7 cm</t>
        </is>
      </c>
    </row>
    <row r="295">
      <c r="A295" s="3" t="inlineStr">
        <is>
          <t>MX 815</t>
        </is>
      </c>
      <c r="B295" s="2" t="inlineStr">
        <is>
          <t>Solárne záhradné svietidlo</t>
        </is>
      </c>
      <c r="C295" s="1" t="n">
        <v>5.69</v>
      </c>
      <c r="D295" s="7" t="n">
        <f>HYPERLINK("https://www.somogyi.sk/product/solarne-zahradne-svietidlo-mx-815-17101","https://www.somogyi.sk/product/solarne-zahradne-svietidlo-mx-815-17101")</f>
        <v>0.0</v>
      </c>
      <c r="E295" s="7" t="n">
        <f>HYPERLINK("https://www.somogyi.sk/productimages/product_main_images/small/17101.jpg","https://www.somogyi.sk/productimages/product_main_images/small/17101.jpg")</f>
        <v>0.0</v>
      </c>
      <c r="F295" s="2" t="inlineStr">
        <is>
          <t>5999084951337</t>
        </is>
      </c>
      <c r="G295" s="4" t="inlineStr">
        <is>
          <t xml:space="preserve"> • materiál: kov / sklo 
 • farba LED: farbu meniaca 
 • počet LED: 1 ks 
 • za- / vypínanie: automatický 
 • možnosť zapichnutia do zeme: áno 
 • napájanie: zabudovaný (1,2 V / 600 mAh) NiMH akumulátor 
 • rozmery: ∅8 x 42 cm</t>
        </is>
      </c>
    </row>
    <row r="296">
      <c r="A296" s="3" t="inlineStr">
        <is>
          <t>MX717</t>
        </is>
      </c>
      <c r="B296" s="2" t="inlineStr">
        <is>
          <t>Solárne záhradné svietidlo, 12 ks displej</t>
        </is>
      </c>
      <c r="C296" s="1" t="n">
        <v>2.29</v>
      </c>
      <c r="D296" s="7" t="n">
        <f>HYPERLINK("https://www.somogyi.sk/product/solarne-zahradne-svietidlo-12-ks-displej-mx717-18341","https://www.somogyi.sk/product/solarne-zahradne-svietidlo-12-ks-displej-mx717-18341")</f>
        <v>0.0</v>
      </c>
      <c r="E296" s="7" t="n">
        <f>HYPERLINK("https://www.somogyi.sk/productimages/product_main_images/small/18341.jpg","https://www.somogyi.sk/productimages/product_main_images/small/18341.jpg")</f>
        <v>0.0</v>
      </c>
      <c r="F296" s="2" t="inlineStr">
        <is>
          <t>5999084963590</t>
        </is>
      </c>
      <c r="G296" s="4" t="inlineStr">
        <is>
          <t xml:space="preserve"> • počet LED: 1 ks 
 • za- / vypínanie: automatický 
 • možnosť zapichnutia do zeme: áno 
 • rozmery: 6,2 x 6,2 x 33 (43) cm 
 •  
 • balenie: 12 ks/displej</t>
        </is>
      </c>
    </row>
    <row r="297">
      <c r="A297" s="3" t="inlineStr">
        <is>
          <t>MX810</t>
        </is>
      </c>
      <c r="B297" s="2" t="inlineStr">
        <is>
          <t>Solárne záhradné svietidlo, 12 ks displej</t>
        </is>
      </c>
      <c r="C297" s="1" t="n">
        <v>2.19</v>
      </c>
      <c r="D297" s="7" t="n">
        <f>HYPERLINK("https://www.somogyi.sk/product/solarne-zahradne-svietidlo-12-ks-displej-mx810-18342","https://www.somogyi.sk/product/solarne-zahradne-svietidlo-12-ks-displej-mx810-18342")</f>
        <v>0.0</v>
      </c>
      <c r="E297" s="7" t="n">
        <f>HYPERLINK("https://www.somogyi.sk/productimages/product_main_images/small/18342.jpg","https://www.somogyi.sk/productimages/product_main_images/small/18342.jpg")</f>
        <v>0.0</v>
      </c>
      <c r="F297" s="2" t="inlineStr">
        <is>
          <t>5999084963606</t>
        </is>
      </c>
      <c r="G297" s="4" t="inlineStr">
        <is>
          <t xml:space="preserve"> • materiál: kov / plast 
 • farba LED: studená biela 
 • počet LED: 1 ks 
 • za- / vypínanie: automatický 
 • možnosť zapichnutia do zeme: áno 
 • napájanie: 1,2V 40 mAh HB40 (Ni-MH) akumulátor 
 • rozmery: 4,6 x 4,6 x 15,5 (25,5) cm 
 •  
 • balenie: 12 ks/displej</t>
        </is>
      </c>
    </row>
    <row r="298">
      <c r="A298" s="3" t="inlineStr">
        <is>
          <t>FLP300SOLAR</t>
        </is>
      </c>
      <c r="B298" s="2" t="inlineStr">
        <is>
          <t>Solárny LED reflektor so senzorom pohybu</t>
        </is>
      </c>
      <c r="C298" s="1" t="n">
        <v>17.49</v>
      </c>
      <c r="D298" s="7" t="n">
        <f>HYPERLINK("https://www.somogyi.sk/product/solarny-led-reflektor-so-senzorom-pohybu-flp300solar-18345","https://www.somogyi.sk/product/solarny-led-reflektor-so-senzorom-pohybu-flp300solar-18345")</f>
        <v>0.0</v>
      </c>
      <c r="E298" s="7" t="n">
        <f>HYPERLINK("https://www.somogyi.sk/productimages/product_main_images/small/18345.jpg","https://www.somogyi.sk/productimages/product_main_images/small/18345.jpg")</f>
        <v>0.0</v>
      </c>
      <c r="F298" s="2" t="inlineStr">
        <is>
          <t>5999084963637</t>
        </is>
      </c>
      <c r="G298" s="4" t="inlineStr">
        <is>
          <t xml:space="preserve"> • farba LED: studená biela 
 • počet LED: 36 ks 
 • možnosť montáže na stenu: áno 
 • rozmery: 19 x 3 x 10,8 cm 
 • svietivosť: 300 lm 
 • teplota farby: 10000 K</t>
        </is>
      </c>
    </row>
    <row r="299">
      <c r="A299" s="3" t="inlineStr">
        <is>
          <t>SWF 01</t>
        </is>
      </c>
      <c r="B299" s="2" t="inlineStr">
        <is>
          <t>Solárna záhradná fontána</t>
        </is>
      </c>
      <c r="C299" s="1" t="n">
        <v>14.99</v>
      </c>
      <c r="D299" s="7" t="n">
        <f>HYPERLINK("https://www.somogyi.sk/product/solarna-zahradna-fontana-swf-01-17102","https://www.somogyi.sk/product/solarna-zahradna-fontana-swf-01-17102")</f>
        <v>0.0</v>
      </c>
      <c r="E299" s="7" t="n">
        <f>HYPERLINK("https://www.somogyi.sk/productimages/product_main_images/small/17102.jpg","https://www.somogyi.sk/productimages/product_main_images/small/17102.jpg")</f>
        <v>0.0</v>
      </c>
      <c r="F299" s="2" t="inlineStr">
        <is>
          <t>5999084951344</t>
        </is>
      </c>
      <c r="G299" s="4" t="inlineStr">
        <is>
          <t xml:space="preserve"> • materiál: plast 
 • za- / vypínanie: automatický 
 • napájanie: zabudovaná solárna batéria 
 • rozmery: ∅13 x 4 cm 
 • hmotnosť: 140 g</t>
        </is>
      </c>
    </row>
    <row r="300">
      <c r="A300" s="3" t="inlineStr">
        <is>
          <t>MX716</t>
        </is>
      </c>
      <c r="B300" s="2" t="inlineStr">
        <is>
          <t>Solárne záhradné svietidlo, 12 ks displej</t>
        </is>
      </c>
      <c r="C300" s="1" t="n">
        <v>2.39</v>
      </c>
      <c r="D300" s="7" t="n">
        <f>HYPERLINK("https://www.somogyi.sk/product/solarne-zahradne-svietidlo-12-ks-displej-mx716-18340","https://www.somogyi.sk/product/solarne-zahradne-svietidlo-12-ks-displej-mx716-18340")</f>
        <v>0.0</v>
      </c>
      <c r="E300" s="7" t="n">
        <f>HYPERLINK("https://www.somogyi.sk/productimages/product_main_images/small/18340.jpg","https://www.somogyi.sk/productimages/product_main_images/small/18340.jpg")</f>
        <v>0.0</v>
      </c>
      <c r="F300" s="2" t="inlineStr">
        <is>
          <t>5999084963583</t>
        </is>
      </c>
      <c r="G300" s="4" t="inlineStr">
        <is>
          <t xml:space="preserve"> • farba LED: studená biela 
 • počet LED: 1 ks 
 • za- / vypínanie: automatický 
 • možnosť zapichnutia do zeme: áno 
 • napájanie: zabudovaný 1,2V 40 mAh HB40 (Ni-MH) akumulátor 
 • rozmery: 8,5 x 8,5 x 24,5 (36,5) cm 
 •  
 • balenie: 12 ks/displej</t>
        </is>
      </c>
    </row>
    <row r="301">
      <c r="A301" s="3" t="inlineStr">
        <is>
          <t>MX816</t>
        </is>
      </c>
      <c r="B301" s="2" t="inlineStr">
        <is>
          <t>Solárne záhradné svietidlo, 12 ks displej</t>
        </is>
      </c>
      <c r="C301" s="1" t="n">
        <v>2.59</v>
      </c>
      <c r="D301" s="7" t="n">
        <f>HYPERLINK("https://www.somogyi.sk/product/solarne-zahradne-svietidlo-12-ks-displej-mx816-18343","https://www.somogyi.sk/product/solarne-zahradne-svietidlo-12-ks-displej-mx816-18343")</f>
        <v>0.0</v>
      </c>
      <c r="E301" s="7" t="n">
        <f>HYPERLINK("https://www.somogyi.sk/productimages/product_main_images/small/18343.jpg","https://www.somogyi.sk/productimages/product_main_images/small/18343.jpg")</f>
        <v>0.0</v>
      </c>
      <c r="F301" s="2" t="inlineStr">
        <is>
          <t>5999084963613</t>
        </is>
      </c>
      <c r="G301" s="4" t="inlineStr">
        <is>
          <t xml:space="preserve"> • materiál: kov / plast 
 • počet LED: 1 ks 
 • za- / vypínanie: automatický 
 • možnosť zapichnutia do zeme: áno 
 • napájanie: 1,2V 40 mAh HB40 (Ni-MH) akumulátor 
 • rozmery: 6,2 x 6,2 x 27,5 (37,5) cm 
 •  
 • balenie: 12 ks/displej</t>
        </is>
      </c>
    </row>
    <row r="302">
      <c r="A302" s="3" t="inlineStr">
        <is>
          <t>CDS 93</t>
        </is>
      </c>
      <c r="B302" s="2" t="inlineStr">
        <is>
          <t>Solárna sviečka</t>
        </is>
      </c>
      <c r="C302" s="1" t="n">
        <v>13.49</v>
      </c>
      <c r="D302" s="7" t="n">
        <f>HYPERLINK("https://www.somogyi.sk/product/solarna-sviecka-cds-93-17606","https://www.somogyi.sk/product/solarna-sviecka-cds-93-17606")</f>
        <v>0.0</v>
      </c>
      <c r="E302" s="7" t="n">
        <f>HYPERLINK("https://www.somogyi.sk/productimages/product_main_images/small/17606.jpg","https://www.somogyi.sk/productimages/product_main_images/small/17606.jpg")</f>
        <v>0.0</v>
      </c>
      <c r="F302" s="2" t="inlineStr">
        <is>
          <t>5999084956288</t>
        </is>
      </c>
      <c r="G302" s="4" t="inlineStr">
        <is>
          <t xml:space="preserve"> • materiál: kov / plast 
 • počet LED: 1 ks 
 • za- / vypínanie: automatický 
 • možnosť umiestnenia na stôl: áno 
 • napájanie: vymeniteľný (1,2 V / 100 mAh) AAA akumulátor 
 • rozmery: ∅6 x 9 cm</t>
        </is>
      </c>
    </row>
    <row r="303">
      <c r="A303" s="3" t="inlineStr">
        <is>
          <t>MX 809</t>
        </is>
      </c>
      <c r="B303" s="2" t="inlineStr">
        <is>
          <t>Solárne záhradné svietidlo</t>
        </is>
      </c>
      <c r="C303" s="1" t="n">
        <v>3.49</v>
      </c>
      <c r="D303" s="7" t="n">
        <f>HYPERLINK("https://www.somogyi.sk/product/solarne-zahradne-svietidlo-mx-809-17605","https://www.somogyi.sk/product/solarne-zahradne-svietidlo-mx-809-17605")</f>
        <v>0.0</v>
      </c>
      <c r="E303" s="7" t="n">
        <f>HYPERLINK("https://www.somogyi.sk/productimages/product_main_images/small/17605.jpg","https://www.somogyi.sk/productimages/product_main_images/small/17605.jpg")</f>
        <v>0.0</v>
      </c>
      <c r="F303" s="2" t="inlineStr">
        <is>
          <t>5999084956271</t>
        </is>
      </c>
      <c r="G303" s="4" t="inlineStr">
        <is>
          <t xml:space="preserve"> • materiál: kov / plast 
 • farba LED: studená biela 
 • počet LED: 1 ks 
 • za- / vypínanie: automatický 
 • možnosť zapichnutia do zeme: áno 
 • napájanie: vymeniteľný (1,2 V / 100 mAh) AAA akumulátor 
 • rozmery: ∅7 x 34 cm</t>
        </is>
      </c>
    </row>
    <row r="304">
      <c r="A304" s="3" t="inlineStr">
        <is>
          <t>MX644</t>
        </is>
      </c>
      <c r="B304" s="2" t="inlineStr">
        <is>
          <t>Solárne záhradné svietidlo, včielka</t>
        </is>
      </c>
      <c r="C304" s="1" t="n">
        <v>6.29</v>
      </c>
      <c r="D304" s="7" t="n">
        <f>HYPERLINK("https://www.somogyi.sk/product/solarne-zahradne-svietidlo-vcielka-mx644-18337","https://www.somogyi.sk/product/solarne-zahradne-svietidlo-vcielka-mx644-18337")</f>
        <v>0.0</v>
      </c>
      <c r="E304" s="7" t="n">
        <f>HYPERLINK("https://www.somogyi.sk/productimages/product_main_images/small/18337.jpg","https://www.somogyi.sk/productimages/product_main_images/small/18337.jpg")</f>
        <v>0.0</v>
      </c>
      <c r="F304" s="2" t="inlineStr">
        <is>
          <t>5999084963552</t>
        </is>
      </c>
      <c r="G304" s="4" t="inlineStr">
        <is>
          <t xml:space="preserve"> • farba LED: studená biela 
 • počet LED: 2 ks 
 • za- / vypínanie: automatický 
 • rozmery: 10,5 x (16,5/26,5) x 7 cm</t>
        </is>
      </c>
    </row>
    <row r="305">
      <c r="A305" s="3" t="inlineStr">
        <is>
          <t>MX643</t>
        </is>
      </c>
      <c r="B305" s="2" t="inlineStr">
        <is>
          <t>Solárne záhradné svietidlo, 12 ks displej</t>
        </is>
      </c>
      <c r="C305" s="1" t="n">
        <v>5.49</v>
      </c>
      <c r="D305" s="7" t="n">
        <f>HYPERLINK("https://www.somogyi.sk/product/solarne-zahradne-svietidlo-12-ks-displej-mx643-18339","https://www.somogyi.sk/product/solarne-zahradne-svietidlo-12-ks-displej-mx643-18339")</f>
        <v>0.0</v>
      </c>
      <c r="E305" s="7" t="n">
        <f>HYPERLINK("https://www.somogyi.sk/productimages/product_main_images/small/18339.jpg","https://www.somogyi.sk/productimages/product_main_images/small/18339.jpg")</f>
        <v>0.0</v>
      </c>
      <c r="F305" s="2" t="inlineStr">
        <is>
          <t>5999084963576</t>
        </is>
      </c>
      <c r="G305" s="4" t="inlineStr">
        <is>
          <t xml:space="preserve"> • farba LED: studená biela 
 • počet LED: 2 ks 
 • za- / vypínanie: automatický 
 • napájanie: zabudovaný 1,2V 100 mAh 1/3AAA (Ni-MH) akumulátor 
 • rozmery: 9,4 x 8,5 x 13 cm 
 •  
 • balenie: 12 ks/displej (krava, ovca, kohút a prasiatko)</t>
        </is>
      </c>
    </row>
    <row r="306">
      <c r="A306" s="3" t="inlineStr">
        <is>
          <t>MX 623</t>
        </is>
      </c>
      <c r="B306" s="2" t="inlineStr">
        <is>
          <t>Solárne záhradné svietidlo</t>
        </is>
      </c>
      <c r="C306" s="1" t="n">
        <v>8.29</v>
      </c>
      <c r="D306" s="7" t="n">
        <f>HYPERLINK("https://www.somogyi.sk/product/solarne-zahradne-svietidlo-mx-623-16714","https://www.somogyi.sk/product/solarne-zahradne-svietidlo-mx-623-16714")</f>
        <v>0.0</v>
      </c>
      <c r="E306" s="7" t="n">
        <f>HYPERLINK("https://www.somogyi.sk/productimages/product_main_images/small/16714.jpg","https://www.somogyi.sk/productimages/product_main_images/small/16714.jpg")</f>
        <v>0.0</v>
      </c>
      <c r="F306" s="2" t="inlineStr">
        <is>
          <t>5999084947460</t>
        </is>
      </c>
      <c r="G306" s="4" t="inlineStr">
        <is>
          <t xml:space="preserve"> • počet LED: 20 ks micro LED 
 • za- / vypínanie: automatický 
 • možnosť zapichnutia do zeme: áno 
 •  
 • napájanie: zabudovaný (1,2 V / 600 mAh) akumulátor 
 • rozmery: ∅9 x 85 cm</t>
        </is>
      </c>
    </row>
    <row r="307">
      <c r="A307" s="3" t="inlineStr">
        <is>
          <t>FLP1002SOLAR</t>
        </is>
      </c>
      <c r="B307" s="2" t="inlineStr">
        <is>
          <t>Solárny LED reflektor so senzorom pohybu</t>
        </is>
      </c>
      <c r="C307" s="1" t="n">
        <v>48.99</v>
      </c>
      <c r="D307" s="7" t="n">
        <f>HYPERLINK("https://www.somogyi.sk/product/solarny-led-reflektor-so-senzorom-pohybu-flp1002solar-18347","https://www.somogyi.sk/product/solarny-led-reflektor-so-senzorom-pohybu-flp1002solar-18347")</f>
        <v>0.0</v>
      </c>
      <c r="E307" s="7" t="n">
        <f>HYPERLINK("https://www.somogyi.sk/productimages/product_main_images/small/18347.jpg","https://www.somogyi.sk/productimages/product_main_images/small/18347.jpg")</f>
        <v>0.0</v>
      </c>
      <c r="F307" s="2" t="inlineStr">
        <is>
          <t>5999084963651</t>
        </is>
      </c>
      <c r="G307" s="4" t="inlineStr">
        <is>
          <t xml:space="preserve"> • materiál: kov / plast 
 • počet LED: 2 x 28 ks 
 • za- / vypínanie: automatický 
 • napájanie: 2 x 3.7V 18650 Li-ion 2000 mAh akumulátor 
 • rozmery: 21,5 x 6,5 x 47 cm 
 • hmotnosť: 1,2 kg 
 • svietivosť: 1000 lm 
 • teplota farby: 6000 K</t>
        </is>
      </c>
    </row>
    <row r="308">
      <c r="A308" s="3" t="inlineStr">
        <is>
          <t>MX 624</t>
        </is>
      </c>
      <c r="B308" s="2" t="inlineStr">
        <is>
          <t>Solárna dekorácia, sklenená guľa, teplý biely micro LED reťazec</t>
        </is>
      </c>
      <c r="C308" s="1" t="n">
        <v>8.29</v>
      </c>
      <c r="D308" s="7" t="n">
        <f>HYPERLINK("https://www.somogyi.sk/product/solarna-dekoracia-sklenena-gula-teply-biely-micro-led-retazec-mx-624-17099","https://www.somogyi.sk/product/solarna-dekoracia-sklenena-gula-teply-biely-micro-led-retazec-mx-624-17099")</f>
        <v>0.0</v>
      </c>
      <c r="E308" s="7" t="n">
        <f>HYPERLINK("https://www.somogyi.sk/productimages/product_main_images/small/17099.jpg","https://www.somogyi.sk/productimages/product_main_images/small/17099.jpg")</f>
        <v>0.0</v>
      </c>
      <c r="F308" s="2" t="inlineStr">
        <is>
          <t>5999084951313</t>
        </is>
      </c>
      <c r="G308" s="4" t="inlineStr">
        <is>
          <t xml:space="preserve"> • farba LED: teplá biela 
 • počet LED: 20 ks teplých bielych micro LED 
 • za- / vypínanie: automatický 
 • možnosť zapichnutia do zeme: áno 
 • napájanie: zabudovaný (1,2 V / 600 mAh) NiMH akumulátor 
 • rozmery: ∅9 x 85 cm</t>
        </is>
      </c>
    </row>
    <row r="309">
      <c r="A309" s="3" t="inlineStr">
        <is>
          <t>MX 642</t>
        </is>
      </c>
      <c r="B309" s="2" t="inlineStr">
        <is>
          <t>Solárne záhradné svietidlo, žaba</t>
        </is>
      </c>
      <c r="C309" s="1" t="n">
        <v>16.99</v>
      </c>
      <c r="D309" s="7" t="n">
        <f>HYPERLINK("https://www.somogyi.sk/product/solarne-zahradne-svietidlo-zaba-mx-642-17604","https://www.somogyi.sk/product/solarne-zahradne-svietidlo-zaba-mx-642-17604")</f>
        <v>0.0</v>
      </c>
      <c r="E309" s="7" t="n">
        <f>HYPERLINK("https://www.somogyi.sk/productimages/product_main_images/small/17604.jpg","https://www.somogyi.sk/productimages/product_main_images/small/17604.jpg")</f>
        <v>0.0</v>
      </c>
      <c r="F309" s="2" t="inlineStr">
        <is>
          <t>5999084956264</t>
        </is>
      </c>
      <c r="G309" s="4" t="inlineStr">
        <is>
          <t xml:space="preserve"> • farba LED: teplá biela 
 • počet LED: 1 ks 
 • za- / vypínanie: automatický 
 • napájanie: vymeniteľný (1,2 V / 200 mAh) AA akumulátor 
 • rozmery: 17,5 x 15 x 23 cm</t>
        </is>
      </c>
    </row>
    <row r="310">
      <c r="A310" s="3" t="inlineStr">
        <is>
          <t>MX 618S</t>
        </is>
      </c>
      <c r="B310" s="2" t="inlineStr">
        <is>
          <t>Solárna záhradná dekorácia</t>
        </is>
      </c>
      <c r="C310" s="1" t="n">
        <v>5.39</v>
      </c>
      <c r="D310" s="7" t="n">
        <f>HYPERLINK("https://www.somogyi.sk/product/solarna-zahradna-dekoracia-mx-618s-16712","https://www.somogyi.sk/product/solarna-zahradna-dekoracia-mx-618s-16712")</f>
        <v>0.0</v>
      </c>
      <c r="E310" s="7" t="n">
        <f>HYPERLINK("https://www.somogyi.sk/productimages/product_main_images/small/16712.jpg","https://www.somogyi.sk/productimages/product_main_images/small/16712.jpg")</f>
        <v>0.0</v>
      </c>
      <c r="F310" s="2" t="inlineStr">
        <is>
          <t>5999084947446</t>
        </is>
      </c>
      <c r="G310" s="4" t="inlineStr">
        <is>
          <t xml:space="preserve"> • materiál: plast 
 • farba LED: biela 
 • počet LED: 1 ks Ø5 mm biela LED 
 • za- / vypínanie: automatický 
 • možnosť zapichnutia do zeme: áno 
 • napájanie: 1,2 V / 200 mAh / AA (NiMH) 
 • rozmery: ~50 cm</t>
        </is>
      </c>
    </row>
    <row r="311">
      <c r="A311" s="3" t="inlineStr">
        <is>
          <t>MX 650</t>
        </is>
      </c>
      <c r="B311" s="2" t="inlineStr">
        <is>
          <t>Solárne záhradné svietidlo</t>
        </is>
      </c>
      <c r="C311" s="1" t="n">
        <v>5.19</v>
      </c>
      <c r="D311" s="7" t="n">
        <f>HYPERLINK("https://www.somogyi.sk/product/solarne-zahradne-svietidlo-mx-650-16715","https://www.somogyi.sk/product/solarne-zahradne-svietidlo-mx-650-16715")</f>
        <v>0.0</v>
      </c>
      <c r="E311" s="7" t="n">
        <f>HYPERLINK("https://www.somogyi.sk/productimages/product_main_images/small/16715.jpg","https://www.somogyi.sk/productimages/product_main_images/small/16715.jpg")</f>
        <v>0.0</v>
      </c>
      <c r="F311" s="2" t="inlineStr">
        <is>
          <t>5999084947477</t>
        </is>
      </c>
      <c r="G311" s="4" t="inlineStr">
        <is>
          <t xml:space="preserve"> • materiál: plast 
 • farba LED: biela 
 • počet LED: 3 biele LED s vysokou svietivosťou 
 • za- / vypínanie: automatický 
 • napájanie: zabudovaný (1,2 V / 600 mAh) NiMH akumulátor 
 • rozmery: ∅12 (17) x 6 cm</t>
        </is>
      </c>
    </row>
    <row r="312">
      <c r="A312" s="3" t="inlineStr">
        <is>
          <t>FLP250SOLAR</t>
        </is>
      </c>
      <c r="B312" s="2" t="inlineStr">
        <is>
          <t>Solárny LED reflektor so senzorom pohybu</t>
        </is>
      </c>
      <c r="C312" s="1" t="n">
        <v>15.99</v>
      </c>
      <c r="D312" s="7" t="n">
        <f>HYPERLINK("https://www.somogyi.sk/product/solarny-led-reflektor-so-senzorom-pohybu-flp250solar-18346","https://www.somogyi.sk/product/solarny-led-reflektor-so-senzorom-pohybu-flp250solar-18346")</f>
        <v>0.0</v>
      </c>
      <c r="E312" s="7" t="n">
        <f>HYPERLINK("https://www.somogyi.sk/productimages/product_main_images/small/18346.jpg","https://www.somogyi.sk/productimages/product_main_images/small/18346.jpg")</f>
        <v>0.0</v>
      </c>
      <c r="F312" s="2" t="inlineStr">
        <is>
          <t>5999084963644</t>
        </is>
      </c>
      <c r="G312" s="4" t="inlineStr">
        <is>
          <t xml:space="preserve"> • farba LED: studená biela 
 • počet LED: 56 ks 
 • za- / vypínanie: automatický 
 • možnosť montáže na stenu: áno 
 • napájanie: 1x 3.7 V 18650 Li-ion 1200 mAh akumulátor 
 •  
 • svietivosť: 250 lm 
 • teplota farby: 10000 K</t>
        </is>
      </c>
    </row>
    <row r="313">
      <c r="A313" s="3" t="inlineStr">
        <is>
          <t>MX 637</t>
        </is>
      </c>
      <c r="B313" s="2" t="inlineStr">
        <is>
          <t>Solárne záhradné svietidlo, sova</t>
        </is>
      </c>
      <c r="C313" s="1" t="n">
        <v>16.99</v>
      </c>
      <c r="D313" s="7" t="n">
        <f>HYPERLINK("https://www.somogyi.sk/product/solarne-zahradne-svietidlo-sova-mx-637-17603","https://www.somogyi.sk/product/solarne-zahradne-svietidlo-sova-mx-637-17603")</f>
        <v>0.0</v>
      </c>
      <c r="E313" s="7" t="n">
        <f>HYPERLINK("https://www.somogyi.sk/productimages/product_main_images/small/17603.jpg","https://www.somogyi.sk/productimages/product_main_images/small/17603.jpg")</f>
        <v>0.0</v>
      </c>
      <c r="F313" s="2" t="inlineStr">
        <is>
          <t>5999084956257</t>
        </is>
      </c>
      <c r="G313" s="4" t="inlineStr">
        <is>
          <t xml:space="preserve"> • farba LED: teplá biela 
 • počet LED: 1 ks 
 • za- / vypínanie: automatický 
 • napájanie: vymeniteľný (1,2 V / 200 mAh) AA akumulátor 
 • rozmery: 17,5 x 15 x 23 cm</t>
        </is>
      </c>
    </row>
    <row r="314">
      <c r="A314" s="3" t="inlineStr">
        <is>
          <t>MX 819/1</t>
        </is>
      </c>
      <c r="B314" s="2" t="inlineStr">
        <is>
          <t>Solárne záhradné svietidlo, kovové, farbu meniace</t>
        </is>
      </c>
      <c r="C314" s="1" t="n">
        <v>4.79</v>
      </c>
      <c r="D314" s="7" t="n">
        <f>HYPERLINK("https://www.somogyi.sk/product/solarne-zahradne-svietidlo-kovove-farbu-meniace-mx-819-1-13873","https://www.somogyi.sk/product/solarne-zahradne-svietidlo-kovove-farbu-meniace-mx-819-1-13873")</f>
        <v>0.0</v>
      </c>
      <c r="E314" s="7" t="n">
        <f>HYPERLINK("https://www.somogyi.sk/productimages/product_main_images/small/13873.jpg","https://www.somogyi.sk/productimages/product_main_images/small/13873.jpg")</f>
        <v>0.0</v>
      </c>
      <c r="F314" s="2" t="inlineStr">
        <is>
          <t>5999084919252</t>
        </is>
      </c>
      <c r="G314" s="4" t="inlineStr">
        <is>
          <t xml:space="preserve"> • materiál: kov /plast 
 • farba LED: biela + farbu meniaca 
 • počet LED: 1 + 1 
 • za- / vypínanie: manuálne, automatické 
 • možnosť zapichnutia do zeme: áno 
 • možnosť montáže na stenu: nie 
 • závesné: nie 
 • možnosť umiestnenia na stôl: nie 
 • zabudovateľné: nie 
 • napájanie: vymeniteľný (1,2 V / 300 mAh) AAA NiMH akumulátor 
 • rozmery: Ø6 x 41,5 cm 
 • hmotnosť: 0,17 kg</t>
        </is>
      </c>
    </row>
    <row r="315">
      <c r="A315" s="3" t="inlineStr">
        <is>
          <t>MX 632C</t>
        </is>
      </c>
      <c r="B315" s="2" t="inlineStr">
        <is>
          <t>Solárne svietidlo, trpaslík</t>
        </is>
      </c>
      <c r="C315" s="1" t="n">
        <v>13.49</v>
      </c>
      <c r="D315" s="7" t="n">
        <f>HYPERLINK("https://www.somogyi.sk/product/solarne-svietidlo-trpaslik-mx-632c-7194","https://www.somogyi.sk/product/solarne-svietidlo-trpaslik-mx-632c-7194")</f>
        <v>0.0</v>
      </c>
      <c r="E315" s="7" t="n">
        <f>HYPERLINK("https://www.somogyi.sk/productimages/product_main_images/small/07194.jpg","https://www.somogyi.sk/productimages/product_main_images/small/07194.jpg")</f>
        <v>0.0</v>
      </c>
      <c r="F315" s="2" t="inlineStr">
        <is>
          <t>5998312761861</t>
        </is>
      </c>
      <c r="G315" s="4" t="inlineStr">
        <is>
          <t xml:space="preserve"> • materiál: polyresin 
 • farba LED: farbu meniaca 
 • počet LED: 1 
 • za- / vypínanie: manuálne, automatické 
 • možnosť zapichnutia do zeme: nie 
 • možnosť montáže na stenu: nie 
 • závesné: nie 
 • možnosť umiestnenia na stôl: áno 
 • zabudovateľné: nie 
 • napájanie: vymeniteľný (1,2 V / 600 mAh) AA NiMH akumulátor 
 • rozmery: 25 cm 
 • hmotnosť: 1,2 kg</t>
        </is>
      </c>
    </row>
    <row r="316">
      <c r="A316" s="3" t="inlineStr">
        <is>
          <t>MX 639</t>
        </is>
      </c>
      <c r="B316" s="2" t="inlineStr">
        <is>
          <t>Solárne záhradné svietidlo</t>
        </is>
      </c>
      <c r="C316" s="1" t="n">
        <v>6.39</v>
      </c>
      <c r="D316" s="7" t="n">
        <f>HYPERLINK("https://www.somogyi.sk/product/solarne-zahradne-svietidlo-mx-639-17602","https://www.somogyi.sk/product/solarne-zahradne-svietidlo-mx-639-17602")</f>
        <v>0.0</v>
      </c>
      <c r="E316" s="7" t="n">
        <f>HYPERLINK("https://www.somogyi.sk/productimages/product_main_images/small/17602.jpg","https://www.somogyi.sk/productimages/product_main_images/small/17602.jpg")</f>
        <v>0.0</v>
      </c>
      <c r="F316" s="2" t="inlineStr">
        <is>
          <t>5999084956240</t>
        </is>
      </c>
      <c r="G316" s="4" t="inlineStr">
        <is>
          <t xml:space="preserve"> • farba LED: biela 
 • počet LED: 2 ks 
 • za- / vypínanie: automatický 
 • napájanie: vymeniteľný (1,2 V / 40 mAh) Ni-MH akumulátor 
 • rozmery: hríb: 12,5 x 11 x 11 cm, sova: 13 x 9,5 x 8 cm, slimák: 13 x 12 cm x 7 cm</t>
        </is>
      </c>
    </row>
    <row r="317">
      <c r="A317" s="3" t="inlineStr">
        <is>
          <t>MX 626/2</t>
        </is>
      </c>
      <c r="B317" s="2" t="inlineStr">
        <is>
          <t>Solárne záhradné svietidlo</t>
        </is>
      </c>
      <c r="C317" s="1" t="n">
        <v>8.99</v>
      </c>
      <c r="D317" s="7" t="n">
        <f>HYPERLINK("https://www.somogyi.sk/product/solarne-zahradne-svietidlo-mx-626-2-17601","https://www.somogyi.sk/product/solarne-zahradne-svietidlo-mx-626-2-17601")</f>
        <v>0.0</v>
      </c>
      <c r="E317" s="7" t="n">
        <f>HYPERLINK("https://www.somogyi.sk/productimages/product_main_images/small/17601.jpg","https://www.somogyi.sk/productimages/product_main_images/small/17601.jpg")</f>
        <v>0.0</v>
      </c>
      <c r="F317" s="2" t="inlineStr">
        <is>
          <t>5999084956233</t>
        </is>
      </c>
      <c r="G317" s="4" t="inlineStr">
        <is>
          <t xml:space="preserve"> • materiál: kov / plast 
 • farba LED: biela 
 • počet LED: 8 ks SMD LED 
 • za- / vypínanie: automatický 
 • možnosť zapichnutia do zeme: áno 
 • napájanie: zabudovaný (1,2 V / 100 mAh) NiMH akumulátor 
 • rozmery: ∅12,5 x 2 cm</t>
        </is>
      </c>
    </row>
    <row r="318">
      <c r="A318" s="6" t="inlineStr">
        <is>
          <t xml:space="preserve">   Osvetlenie / Dekoračné osvetlenie</t>
        </is>
      </c>
      <c r="B318" s="6" t="inlineStr">
        <is>
          <t/>
        </is>
      </c>
      <c r="C318" s="6" t="inlineStr">
        <is>
          <t/>
        </is>
      </c>
      <c r="D318" s="6" t="inlineStr">
        <is>
          <t/>
        </is>
      </c>
      <c r="E318" s="6" t="inlineStr">
        <is>
          <t/>
        </is>
      </c>
      <c r="F318" s="6" t="inlineStr">
        <is>
          <t/>
        </is>
      </c>
      <c r="G318" s="6" t="inlineStr">
        <is>
          <t/>
        </is>
      </c>
    </row>
    <row r="319">
      <c r="A319" s="3" t="inlineStr">
        <is>
          <t>LPL 10 PAPAYA</t>
        </is>
      </c>
      <c r="B319" s="2" t="inlineStr">
        <is>
          <t>Party svietiaci reťazec,filament LED papaya, 5 m</t>
        </is>
      </c>
      <c r="C319" s="1" t="n">
        <v>54.99</v>
      </c>
      <c r="D319" s="7" t="n">
        <f>HYPERLINK("https://www.somogyi.sk/product/party-svietiaci-retazec-filament-led-papaya-5-m-lpl-10-papaya-17892","https://www.somogyi.sk/product/party-svietiaci-retazec-filament-led-papaya-5-m-lpl-10-papaya-17892")</f>
        <v>0.0</v>
      </c>
      <c r="E319" s="7" t="n">
        <f>HYPERLINK("https://www.somogyi.sk/productimages/product_main_images/small/17892.jpg","https://www.somogyi.sk/productimages/product_main_images/small/17892.jpg")</f>
        <v>0.0</v>
      </c>
      <c r="F319" s="2" t="inlineStr">
        <is>
          <t>5999084959142</t>
        </is>
      </c>
      <c r="G319" s="4" t="inlineStr">
        <is>
          <t xml:space="preserve"> • vonkajšia / vnútorná: na vonkajšie / vnútorné použitie 
 • farba LED: teplá biela 
 • počet LED: 1 x filament LED so stálym svetlom na žiarovku 
 • napájanie: IP44 sieťový adaptér na vonkajšie použitie 
 • rozmery: žiarovky: ∅6 cm x 12 cm • dĺžka reťazca: 4,5 m • dĺžka napájacieho kábla: 5 m</t>
        </is>
      </c>
    </row>
    <row r="320">
      <c r="A320" s="3" t="inlineStr">
        <is>
          <t>MLF 20/WW</t>
        </is>
      </c>
      <c r="B320" s="2" t="inlineStr">
        <is>
          <t>Micro LED svietiaci reťazec, batériový, ploché puzdro na batérie, teplá biela</t>
        </is>
      </c>
      <c r="C320" s="1" t="n">
        <v>2.89</v>
      </c>
      <c r="D320" s="7" t="n">
        <f>HYPERLINK("https://www.somogyi.sk/product/micro-led-svietiaci-retazec-bateriovy-ploche-puzdro-na-baterie-tepla-biela-mlf-20-ww-16513","https://www.somogyi.sk/product/micro-led-svietiaci-retazec-bateriovy-ploche-puzdro-na-baterie-tepla-biela-mlf-20-ww-16513")</f>
        <v>0.0</v>
      </c>
      <c r="E320" s="7" t="n">
        <f>HYPERLINK("https://www.somogyi.sk/productimages/product_main_images/small/16513.jpg","https://www.somogyi.sk/productimages/product_main_images/small/16513.jpg")</f>
        <v>0.0</v>
      </c>
      <c r="F320" s="2" t="inlineStr">
        <is>
          <t>5999084945459</t>
        </is>
      </c>
      <c r="G320" s="4" t="inlineStr">
        <is>
          <t xml:space="preserve"> • vonkajšia / vnútorná: na vnútorné použitie 
 • farba LED: teplá biela 
 • počet LED: 20 ks bodových mikro LED 
 • efekty: blikajúce svetlo 
 • napájanie: 2 x CR2032 gombíková batéria  (je príslušenstvom) 
 • rozmery: 2 m</t>
        </is>
      </c>
    </row>
    <row r="321">
      <c r="A321" s="3" t="inlineStr">
        <is>
          <t>MLD 20/M</t>
        </is>
      </c>
      <c r="B321" s="2" t="inlineStr">
        <is>
          <t>Micro LED svietiaci reťazec, batériový, farebná</t>
        </is>
      </c>
      <c r="C321" s="1" t="n">
        <v>2.89</v>
      </c>
      <c r="D321" s="7" t="n">
        <f>HYPERLINK("https://www.somogyi.sk/product/micro-led-svietiaci-retazec-bateriovy-farebna-mld-20-m-16514","https://www.somogyi.sk/product/micro-led-svietiaci-retazec-bateriovy-farebna-mld-20-m-16514")</f>
        <v>0.0</v>
      </c>
      <c r="E321" s="7" t="n">
        <f>HYPERLINK("https://www.somogyi.sk/productimages/product_main_images/small/16514.jpg","https://www.somogyi.sk/productimages/product_main_images/small/16514.jpg")</f>
        <v>0.0</v>
      </c>
      <c r="F321" s="2" t="inlineStr">
        <is>
          <t>5999084945466</t>
        </is>
      </c>
      <c r="G321" s="4" t="inlineStr">
        <is>
          <t xml:space="preserve"> • vonkajšia / vnútorná: na vnútorné použitie 
 • farba LED: multicolor 
 • počet LED: 20 ks bodových mikro LED 
 • efekty: stále svetlo 
 • napájanie: 3 x LR44 gombíková batéria (je príslušenstvom) 
 • rozmery: 2 m</t>
        </is>
      </c>
    </row>
    <row r="322">
      <c r="A322" s="3" t="inlineStr">
        <is>
          <t>MLD 20/WW</t>
        </is>
      </c>
      <c r="B322" s="2" t="inlineStr">
        <is>
          <t>Micro LED svietiaci reťazec, batériový, teplá biela</t>
        </is>
      </c>
      <c r="C322" s="1" t="n">
        <v>2.89</v>
      </c>
      <c r="D322" s="7" t="n">
        <f>HYPERLINK("https://www.somogyi.sk/product/micro-led-svietiaci-retazec-bateriovy-tepla-biela-mld-20-ww-16515","https://www.somogyi.sk/product/micro-led-svietiaci-retazec-bateriovy-tepla-biela-mld-20-ww-16515")</f>
        <v>0.0</v>
      </c>
      <c r="E322" s="7" t="n">
        <f>HYPERLINK("https://www.somogyi.sk/productimages/product_main_images/small/16515.jpg","https://www.somogyi.sk/productimages/product_main_images/small/16515.jpg")</f>
        <v>0.0</v>
      </c>
      <c r="F322" s="2" t="inlineStr">
        <is>
          <t>5999084945473</t>
        </is>
      </c>
      <c r="G322" s="4" t="inlineStr">
        <is>
          <t xml:space="preserve"> • vonkajšia / vnútorná: na vnútorné použitie 
 • farba LED: teplá biela 
 • počet LED: 20 ks bodových mikro LED 
 • efekty: stále svetlo 
 • napájanie: 3 x LR44 gombíková batéria (je príslušenstvom) 
 • rozmery: 2 m</t>
        </is>
      </c>
    </row>
    <row r="323">
      <c r="A323" s="3" t="inlineStr">
        <is>
          <t>LPC 5M</t>
        </is>
      </c>
      <c r="B323" s="2" t="inlineStr">
        <is>
          <t>Adaptér napájací kábel / predlžovací kábel, 5 m, IP44</t>
        </is>
      </c>
      <c r="C323" s="1" t="n">
        <v>4.59</v>
      </c>
      <c r="D323" s="7" t="n">
        <f>HYPERLINK("https://www.somogyi.sk/product/adapter-napajaci-kabel-predlzovaci-kabel-5-m-ip44-lpc-5m-16378","https://www.somogyi.sk/product/adapter-napajaci-kabel-predlzovaci-kabel-5-m-ip44-lpc-5m-16378")</f>
        <v>0.0</v>
      </c>
      <c r="E323" s="7" t="n">
        <f>HYPERLINK("https://www.somogyi.sk/productimages/product_main_images/small/16378.jpg","https://www.somogyi.sk/productimages/product_main_images/small/16378.jpg")</f>
        <v>0.0</v>
      </c>
      <c r="F323" s="2" t="inlineStr">
        <is>
          <t>5999084944100</t>
        </is>
      </c>
      <c r="G323" s="4" t="inlineStr">
        <is>
          <t xml:space="preserve"> • vonkajšia / vnútorná: na vonkajšie / vnútorné použitie 
 • rozmery: 5 m</t>
        </is>
      </c>
    </row>
    <row r="324">
      <c r="A324" s="3" t="inlineStr">
        <is>
          <t>LPA 9W</t>
        </is>
      </c>
      <c r="B324" s="2" t="inlineStr">
        <is>
          <t>Sieťový adaptér k svietiacim reťazcom, 24 V DC / 9 W, IP44</t>
        </is>
      </c>
      <c r="C324" s="1" t="n">
        <v>11.99</v>
      </c>
      <c r="D324" s="7" t="n">
        <f>HYPERLINK("https://www.somogyi.sk/product/sietovy-adapter-k-svietiacim-retazcom-24-v-dc-9-w-ip44-lpa-9w-16377","https://www.somogyi.sk/product/sietovy-adapter-k-svietiacim-retazcom-24-v-dc-9-w-ip44-lpa-9w-16377")</f>
        <v>0.0</v>
      </c>
      <c r="E324" s="7" t="n">
        <f>HYPERLINK("https://www.somogyi.sk/productimages/product_main_images/small/16377.jpg","https://www.somogyi.sk/productimages/product_main_images/small/16377.jpg")</f>
        <v>0.0</v>
      </c>
      <c r="F324" s="2" t="inlineStr">
        <is>
          <t>5999084944094</t>
        </is>
      </c>
      <c r="G324" s="4" t="inlineStr">
        <is>
          <t xml:space="preserve"> • vonkajšia / vnútorná: na vonkajšie / vnútorné použitie 
 • farba: čierna 
 • rozmery: vonkajší rozmer: 102 x 42 x 42 mm 
 • hmotnosť: 50 g 
 • ďalšie informácie: maximálny výkon ovládacieho zariadenia Pcg=9 W • typ svetelného zdroja, pre ktorý je určený Výlučne pre LED svietiaci reťazec! •  účinnosť pri plnej záťaži		=82,30% • spotreba v režime bez záťaže Pno=0,13 W •spotreba v režime pohotovosti Psb=0,00 W • spotreba v režime pohotovosti pri zapojení v sieti Pnet=0,00 W • Je vhodné ovládacie zariadenie na stlmovanie svetelných zdrojov? NIE</t>
        </is>
      </c>
    </row>
    <row r="325">
      <c r="A325" s="3" t="inlineStr">
        <is>
          <t>MLF 26/WW</t>
        </is>
      </c>
      <c r="B325" s="2" t="inlineStr">
        <is>
          <t>Micro LED svetelný reťazec, batériový</t>
        </is>
      </c>
      <c r="C325" s="1" t="n">
        <v>3.19</v>
      </c>
      <c r="D325" s="7" t="n">
        <f>HYPERLINK("https://www.somogyi.sk/product/micro-led-svetelny-retazec-bateriovy-mlf-26-ww-18137","https://www.somogyi.sk/product/micro-led-svetelny-retazec-bateriovy-mlf-26-ww-18137")</f>
        <v>0.0</v>
      </c>
      <c r="E325" s="7" t="n">
        <f>HYPERLINK("https://www.somogyi.sk/productimages/product_main_images/small/18137.jpg","https://www.somogyi.sk/productimages/product_main_images/small/18137.jpg")</f>
        <v>0.0</v>
      </c>
      <c r="F325" s="2" t="inlineStr">
        <is>
          <t>5999084961596</t>
        </is>
      </c>
      <c r="G325" s="4" t="inlineStr">
        <is>
          <t xml:space="preserve"> • teplá biela farba, stále svetlo 
 • 20 ks bodových micro LED 
 • funkcie tlačidla: TIMER (6h ON / 18h OFF)/ON/OFF 
 • Výmenu batérie môže vykonať iba dospelá osoba!</t>
        </is>
      </c>
    </row>
    <row r="326">
      <c r="A326" s="3" t="inlineStr">
        <is>
          <t>MLF 26/WH</t>
        </is>
      </c>
      <c r="B326" s="2" t="inlineStr">
        <is>
          <t>Micro LED svetelný reťazec, batériový</t>
        </is>
      </c>
      <c r="C326" s="1" t="n">
        <v>3.19</v>
      </c>
      <c r="D326" s="7" t="n">
        <f>HYPERLINK("https://www.somogyi.sk/product/micro-led-svetelny-retazec-bateriovy-mlf-26-wh-18136","https://www.somogyi.sk/product/micro-led-svetelny-retazec-bateriovy-mlf-26-wh-18136")</f>
        <v>0.0</v>
      </c>
      <c r="E326" s="7" t="n">
        <f>HYPERLINK("https://www.somogyi.sk/productimages/product_main_images/small/18136.jpg","https://www.somogyi.sk/productimages/product_main_images/small/18136.jpg")</f>
        <v>0.0</v>
      </c>
      <c r="F326" s="2" t="inlineStr">
        <is>
          <t>5999084961589</t>
        </is>
      </c>
      <c r="G326" s="4" t="inlineStr">
        <is>
          <t xml:space="preserve"> • studená biela farba, stále svetlo 
 • 20 ks bodových micro LED 
 • funkcie tlačidla: TIMER (6h ON / 18h OFF)/ON/OFF 
 • Výmenu batérie môže vykonať iba dospelá osoba!</t>
        </is>
      </c>
    </row>
    <row r="327">
      <c r="A327" s="3" t="inlineStr">
        <is>
          <t>LPL 10M</t>
        </is>
      </c>
      <c r="B327" s="2" t="inlineStr">
        <is>
          <t>Spojovateľný LED svietiaci reťazec na vonkajšie použitie, 10 farebných gúľ, 5 m</t>
        </is>
      </c>
      <c r="C327" s="1" t="n">
        <v>29.99</v>
      </c>
      <c r="D327" s="7" t="n">
        <f>HYPERLINK("https://www.somogyi.sk/product/spojovatelny-led-svietiaci-retazec-na-vonkajsie-pouzitie-10-farebnych-gul-5-m-lpl-10m-16350","https://www.somogyi.sk/product/spojovatelny-led-svietiaci-retazec-na-vonkajsie-pouzitie-10-farebnych-gul-5-m-lpl-10m-16350")</f>
        <v>0.0</v>
      </c>
      <c r="E327" s="7" t="n">
        <f>HYPERLINK("https://www.somogyi.sk/productimages/product_main_images/small/16350.jpg","https://www.somogyi.sk/productimages/product_main_images/small/16350.jpg")</f>
        <v>0.0</v>
      </c>
      <c r="F327" s="2" t="inlineStr">
        <is>
          <t>5999084943820</t>
        </is>
      </c>
      <c r="G327" s="4" t="inlineStr">
        <is>
          <t xml:space="preserve"> • vonkajšia / vnútorná: na vonkajšie / vnútorné použitie 
 • farba: farebná 
 • materiál: plast 
 • farba LED: farebná 
 • počet LED: 10 ks farebných LED gúľ 
 • rozmery: 5 m 
 • S jedným sieťovým napojením sa môže prevádzkovať maximálne 5 ks reťazcí.</t>
        </is>
      </c>
    </row>
    <row r="328">
      <c r="A328" s="3" t="inlineStr">
        <is>
          <t>CDS 2</t>
        </is>
      </c>
      <c r="B328" s="2" t="inlineStr">
        <is>
          <t>Sada LED sviečok, 2 ks</t>
        </is>
      </c>
      <c r="C328" s="1" t="n">
        <v>3.19</v>
      </c>
      <c r="D328" s="7" t="n">
        <f>HYPERLINK("https://www.somogyi.sk/product/sada-led-sviecok-2-ks-cds-2-16069","https://www.somogyi.sk/product/sada-led-sviecok-2-ks-cds-2-16069")</f>
        <v>0.0</v>
      </c>
      <c r="E328" s="7" t="n">
        <f>HYPERLINK("https://www.somogyi.sk/productimages/product_main_images/small/16069.jpg","https://www.somogyi.sk/productimages/product_main_images/small/16069.jpg")</f>
        <v>0.0</v>
      </c>
      <c r="F328" s="2" t="inlineStr">
        <is>
          <t>5999084941017</t>
        </is>
      </c>
      <c r="G328" s="4" t="inlineStr">
        <is>
          <t xml:space="preserve"> • farba LED: žltá 
 • počet LED: 1 ks 
 • efekty: blikajúca LED 
 • napájanie: 1 x CR2032 gombíková batéria, je príslušenstvom 
 • rozmery: Ø4 x 6 cm 
 • balenie: 8 setov / displej</t>
        </is>
      </c>
    </row>
    <row r="329">
      <c r="A329" s="3" t="inlineStr">
        <is>
          <t>LPL 30/M</t>
        </is>
      </c>
      <c r="B329" s="2" t="inlineStr">
        <is>
          <t>LED svietiaci reťazec na vonkajšie použitie, 30 farebných gúľ, 14,5 m</t>
        </is>
      </c>
      <c r="C329" s="1" t="n">
        <v>85.99</v>
      </c>
      <c r="D329" s="7" t="n">
        <f>HYPERLINK("https://www.somogyi.sk/product/led-svietiaci-retazec-na-vonkajsie-pouzitie-30-farebnych-gul-14-5-m-lpl-30-m-16048","https://www.somogyi.sk/product/led-svietiaci-retazec-na-vonkajsie-pouzitie-30-farebnych-gul-14-5-m-lpl-30-m-16048")</f>
        <v>0.0</v>
      </c>
      <c r="E329" s="7" t="n">
        <f>HYPERLINK("https://www.somogyi.sk/productimages/product_main_images/small/16048.jpg","https://www.somogyi.sk/productimages/product_main_images/small/16048.jpg")</f>
        <v>0.0</v>
      </c>
      <c r="F329" s="2" t="inlineStr">
        <is>
          <t>5999084940805</t>
        </is>
      </c>
      <c r="G329" s="4" t="inlineStr">
        <is>
          <t xml:space="preserve"> • vonkajšia / vnútorná: na vonkajšie / vnútorné použitie 
 • farba: farebná 
 • farba LED: farebná 
 • počet LED: 30 ks farebných plastových LED gúľ 
 • napájanie: 230 V~ (adaptér) 
 • rozmery: 14,5 m</t>
        </is>
      </c>
    </row>
    <row r="330">
      <c r="A330" s="3" t="inlineStr">
        <is>
          <t>LPL 10 GLOBE</t>
        </is>
      </c>
      <c r="B330" s="2" t="inlineStr">
        <is>
          <t>Party svietiaci reťazec, spojovateľný, micro LED, teplá biela guľa, 5 m</t>
        </is>
      </c>
      <c r="C330" s="1" t="n">
        <v>62.99</v>
      </c>
      <c r="D330" s="7" t="n">
        <f>HYPERLINK("https://www.somogyi.sk/product/party-svietiaci-retazec-spojovatelny-micro-led-tepla-biela-gula-5-m-lpl-10-globe-17891","https://www.somogyi.sk/product/party-svietiaci-retazec-spojovatelny-micro-led-tepla-biela-gula-5-m-lpl-10-globe-17891")</f>
        <v>0.0</v>
      </c>
      <c r="E330" s="7" t="n">
        <f>HYPERLINK("https://www.somogyi.sk/productimages/product_main_images/small/17891.jpg","https://www.somogyi.sk/productimages/product_main_images/small/17891.jpg")</f>
        <v>0.0</v>
      </c>
      <c r="F330" s="2" t="inlineStr">
        <is>
          <t>5999084959135</t>
        </is>
      </c>
      <c r="G330" s="4" t="inlineStr">
        <is>
          <t xml:space="preserve"> • vonkajšia / vnútorná: na vonkajšie / vnútorné použitie 
 • farba LED: teplá biela 
 • napájanie: IP44 sieťový adaptér na vonkajšie použitie 
 • rozmery: žiarovky: ∅8 cm • dĺžka reťazca: 4,5 m • dĺžka napájacieho kábla: 5 m</t>
        </is>
      </c>
    </row>
    <row r="331">
      <c r="A331" s="3" t="inlineStr">
        <is>
          <t>FOL 1</t>
        </is>
      </c>
      <c r="B331" s="2" t="inlineStr">
        <is>
          <t>LED svietidlo s optickými vláknami</t>
        </is>
      </c>
      <c r="C331" s="1" t="n">
        <v>4.29</v>
      </c>
      <c r="D331" s="7" t="n">
        <f>HYPERLINK("https://www.somogyi.sk/product/led-svietidlo-s-optickymi-vlaknami-fol-1-17723","https://www.somogyi.sk/product/led-svietidlo-s-optickymi-vlaknami-fol-1-17723")</f>
        <v>0.0</v>
      </c>
      <c r="E331" s="7" t="n">
        <f>HYPERLINK("https://www.somogyi.sk/productimages/product_main_images/small/17723.jpg","https://www.somogyi.sk/productimages/product_main_images/small/17723.jpg")</f>
        <v>0.0</v>
      </c>
      <c r="F331" s="2" t="inlineStr">
        <is>
          <t>5999084957452</t>
        </is>
      </c>
      <c r="G331" s="4" t="inlineStr">
        <is>
          <t xml:space="preserve"> • vonkajšia / vnútorná: na vnútorné použitie 
 • počet LED: 3 ks 
 • napájanie: 3 x AA batéria, nie je príslušenstvom</t>
        </is>
      </c>
    </row>
    <row r="332">
      <c r="A332" s="3" t="inlineStr">
        <is>
          <t>CD 2/WX</t>
        </is>
      </c>
      <c r="B332" s="2" t="inlineStr">
        <is>
          <t>LED čajová sviečka, biela</t>
        </is>
      </c>
      <c r="C332" s="1" t="n">
        <v>1.99</v>
      </c>
      <c r="D332" s="7" t="n">
        <f>HYPERLINK("https://www.somogyi.sk/product/led-cajova-sviecka-biela-cd-2-wx-13445","https://www.somogyi.sk/product/led-cajova-sviecka-biela-cd-2-wx-13445")</f>
        <v>0.0</v>
      </c>
      <c r="E332" s="7" t="n">
        <f>HYPERLINK("https://www.somogyi.sk/productimages/product_main_images/small/13445.jpg","https://www.somogyi.sk/productimages/product_main_images/small/13445.jpg")</f>
        <v>0.0</v>
      </c>
      <c r="F332" s="2" t="inlineStr">
        <is>
          <t>5999084915315</t>
        </is>
      </c>
      <c r="G332" s="4" t="inlineStr">
        <is>
          <t xml:space="preserve"> • vonkajšia / vnútorná: na vnútorné použitie 
 • farba: biela 
 • diaľkový ovládač: nie 
 • materiál: plast 
 • farba LED: oranžová 
 • počet LED: 1 ks 
 • efekty: blikajúce svetlo 
 • napájanie: CR2032 batéria (príslušenstvo) 
 • rozmery: Ø38 mm 
 • balenie: 2 ks 
 • hmotnosť: 0,03 kg 
 • ďalšie informácie: - 
 • umiestnenie: vnútorné použitie 
 • zdroj svetla: LED 
 • počet zdrojov svetla: 1 ks 
 • farba zdrojov svetla: oranžová 
 • funkcie: blikajúca LED</t>
        </is>
      </c>
    </row>
    <row r="333">
      <c r="A333" s="3" t="inlineStr">
        <is>
          <t>CDS 3</t>
        </is>
      </c>
      <c r="B333" s="2" t="inlineStr">
        <is>
          <t>Sada LED sviečok v skle</t>
        </is>
      </c>
      <c r="C333" s="1" t="n">
        <v>17.49</v>
      </c>
      <c r="D333" s="7" t="n">
        <f>HYPERLINK("https://www.somogyi.sk/product/sada-led-sviecok-v-skle-cds-3-17351","https://www.somogyi.sk/product/sada-led-sviecok-v-skle-cds-3-17351")</f>
        <v>0.0</v>
      </c>
      <c r="E333" s="7" t="n">
        <f>HYPERLINK("https://www.somogyi.sk/productimages/product_main_images/small/17351.jpg","https://www.somogyi.sk/productimages/product_main_images/small/17351.jpg")</f>
        <v>0.0</v>
      </c>
      <c r="F333" s="2" t="inlineStr">
        <is>
          <t>5999084953737</t>
        </is>
      </c>
      <c r="G333" s="4" t="inlineStr">
        <is>
          <t xml:space="preserve"> • napájanie: 2 x 3 V (CR2032) batéria, je príslušenstvom 
 • rozmery: Ø5 cm x 10 / 12,5 / 15 cm 
 • umiestnenie: na vnútorné použitie 
 • zdroj svetla: LED 
 • počet zdrojov svetla: 3 x 1 ks 
 • farba zdrojov svetla: teplá biela</t>
        </is>
      </c>
    </row>
    <row r="334">
      <c r="A334" s="6" t="inlineStr">
        <is>
          <t xml:space="preserve">   Osvetlenie / Náladové osvetlenie</t>
        </is>
      </c>
      <c r="B334" s="6" t="inlineStr">
        <is>
          <t/>
        </is>
      </c>
      <c r="C334" s="6" t="inlineStr">
        <is>
          <t/>
        </is>
      </c>
      <c r="D334" s="6" t="inlineStr">
        <is>
          <t/>
        </is>
      </c>
      <c r="E334" s="6" t="inlineStr">
        <is>
          <t/>
        </is>
      </c>
      <c r="F334" s="6" t="inlineStr">
        <is>
          <t/>
        </is>
      </c>
      <c r="G334" s="6" t="inlineStr">
        <is>
          <t/>
        </is>
      </c>
    </row>
    <row r="335">
      <c r="A335" s="3" t="inlineStr">
        <is>
          <t>LTN 33 FP</t>
        </is>
      </c>
      <c r="B335" s="2" t="inlineStr">
        <is>
          <t>Dekorácia krb</t>
        </is>
      </c>
      <c r="C335" s="1" t="n">
        <v>25.99</v>
      </c>
      <c r="D335" s="7" t="n">
        <f>HYPERLINK("https://www.somogyi.sk/product/dekoracia-krb-ltn-33-fp-18103","https://www.somogyi.sk/product/dekoracia-krb-ltn-33-fp-18103")</f>
        <v>0.0</v>
      </c>
      <c r="E335" s="7" t="n">
        <f>HYPERLINK("https://www.somogyi.sk/productimages/product_main_images/small/18103.jpg","https://www.somogyi.sk/productimages/product_main_images/small/18103.jpg")</f>
        <v>0.0</v>
      </c>
      <c r="F335" s="2" t="inlineStr">
        <is>
          <t>5999084961251</t>
        </is>
      </c>
      <c r="G335" s="4" t="inlineStr">
        <is>
          <t xml:space="preserve"> • farba: biela 
 • zdroj svetla: LED 
 • napájanie: 3 x 1,5 V (C) batérie, nie sú príslušenstvom • možno napájať aj z adaptéra, nie je príslušenstvom (odporúčané MW MA06/G ) 
 • rozmery: 33 x 21 x 11 cm 
 • umiestnenie: na vnútorné použitie 
 • za- / vypínanie: ručná 
 • charakteristiky: bez funkcie vykurovania</t>
        </is>
      </c>
    </row>
    <row r="336">
      <c r="A336" s="3" t="inlineStr">
        <is>
          <t>LTN 64 FP</t>
        </is>
      </c>
      <c r="B336" s="2" t="inlineStr">
        <is>
          <t>Dekorácia krb, batériová</t>
        </is>
      </c>
      <c r="C336" s="1" t="n">
        <v>41.99</v>
      </c>
      <c r="D336" s="7" t="n">
        <f>HYPERLINK("https://www.somogyi.sk/product/dekoracia-krb-bateriova-ltn-64-fp-18104","https://www.somogyi.sk/product/dekoracia-krb-bateriova-ltn-64-fp-18104")</f>
        <v>0.0</v>
      </c>
      <c r="E336" s="7" t="n">
        <f>HYPERLINK("https://www.somogyi.sk/productimages/product_main_images/small/18104.jpg","https://www.somogyi.sk/productimages/product_main_images/small/18104.jpg")</f>
        <v>0.0</v>
      </c>
      <c r="F336" s="2" t="inlineStr">
        <is>
          <t>5999084961268</t>
        </is>
      </c>
      <c r="G336" s="4" t="inlineStr">
        <is>
          <t xml:space="preserve"> • farba: biela 
 • zdroj svetla: LED 
 • napájanie: 3 x 1,5 V (C) batérie, nie sú príslušenstvom • možno napájať aj z adaptéra, nie je príslušenstvom (odporúčané MW MA06/G ) 
 • rozmery: 64,5 x 22 x 12,5 cm 
 • umiestnenie: na vnútorné použitie 
 • za- / vypínanie: ručná 
 • charakteristiky: bez funkcie vykurovania</t>
        </is>
      </c>
    </row>
    <row r="337">
      <c r="A337" s="6" t="inlineStr">
        <is>
          <t xml:space="preserve">   Osvetlenie / Diskotéková guľa, inteligentný zdroj svetla</t>
        </is>
      </c>
      <c r="B337" s="6" t="inlineStr">
        <is>
          <t/>
        </is>
      </c>
      <c r="C337" s="6" t="inlineStr">
        <is>
          <t/>
        </is>
      </c>
      <c r="D337" s="6" t="inlineStr">
        <is>
          <t/>
        </is>
      </c>
      <c r="E337" s="6" t="inlineStr">
        <is>
          <t/>
        </is>
      </c>
      <c r="F337" s="6" t="inlineStr">
        <is>
          <t/>
        </is>
      </c>
      <c r="G337" s="6" t="inlineStr">
        <is>
          <t/>
        </is>
      </c>
    </row>
    <row r="338">
      <c r="A338" s="3" t="inlineStr">
        <is>
          <t>DL 4/27</t>
        </is>
      </c>
      <c r="B338" s="2" t="inlineStr">
        <is>
          <t>Diskotéková lampa, RGB LED, 3 W</t>
        </is>
      </c>
      <c r="C338" s="1" t="n">
        <v>10.99</v>
      </c>
      <c r="D338" s="7" t="n">
        <f>HYPERLINK("https://www.somogyi.sk/product/diskotekova-lampa-rgb-led-3-w-dl-4-27-16943","https://www.somogyi.sk/product/diskotekova-lampa-rgb-led-3-w-dl-4-27-16943")</f>
        <v>0.0</v>
      </c>
      <c r="E338" s="7" t="n">
        <f>HYPERLINK("https://www.somogyi.sk/productimages/product_main_images/small/16943.jpg","https://www.somogyi.sk/productimages/product_main_images/small/16943.jpg")</f>
        <v>0.0</v>
      </c>
      <c r="F338" s="2" t="inlineStr">
        <is>
          <t>5999084949754</t>
        </is>
      </c>
      <c r="G338" s="4" t="inlineStr">
        <is>
          <t xml:space="preserve"> • zdroj svetla: POWER LED 
 • počet zdrojov svetla: 3 x 1 W LED zdroj svetla 
 • výkon svetlo / zvuk: 3 W 
 • efekty: diskotékové svietidlo 
 • rozmery: ∅80 x 130 mm 
 • hmotnosť: 107 g 
 • ďalšie informácie: objímka E27</t>
        </is>
      </c>
    </row>
    <row r="339">
      <c r="A339" s="6" t="inlineStr">
        <is>
          <t xml:space="preserve">   Osvetlenie / Svietidlo so senzorom pohybu, pozičné svietidlo</t>
        </is>
      </c>
      <c r="B339" s="6" t="inlineStr">
        <is>
          <t/>
        </is>
      </c>
      <c r="C339" s="6" t="inlineStr">
        <is>
          <t/>
        </is>
      </c>
      <c r="D339" s="6" t="inlineStr">
        <is>
          <t/>
        </is>
      </c>
      <c r="E339" s="6" t="inlineStr">
        <is>
          <t/>
        </is>
      </c>
      <c r="F339" s="6" t="inlineStr">
        <is>
          <t/>
        </is>
      </c>
      <c r="G339" s="6" t="inlineStr">
        <is>
          <t/>
        </is>
      </c>
    </row>
    <row r="340">
      <c r="A340" s="3" t="inlineStr">
        <is>
          <t>LNL 120</t>
        </is>
      </c>
      <c r="B340" s="2" t="inlineStr">
        <is>
          <t>LED pozičné svietidlo, so spínačom, 230V</t>
        </is>
      </c>
      <c r="C340" s="1" t="n">
        <v>5.39</v>
      </c>
      <c r="D340" s="7" t="n">
        <f>HYPERLINK("https://www.somogyi.sk/product/led-pozicne-svietidlo-so-spinacom-230v-lnl-120-9325","https://www.somogyi.sk/product/led-pozicne-svietidlo-so-spinacom-230v-lnl-120-9325")</f>
        <v>0.0</v>
      </c>
      <c r="E340" s="7" t="n">
        <f>HYPERLINK("https://www.somogyi.sk/productimages/product_main_images/small/09325.jpg","https://www.somogyi.sk/productimages/product_main_images/small/09325.jpg")</f>
        <v>0.0</v>
      </c>
      <c r="F340" s="2" t="inlineStr">
        <is>
          <t>5998312781333</t>
        </is>
      </c>
      <c r="G340" s="4" t="inlineStr">
        <is>
          <t xml:space="preserve"> • zdroj svetla: LED 
 • výkon: 0,7 W 
 • počet LED: 3 ks 
 • farba LED: studená biela 
 • vypínač: áno 
 • napájanie: 230 V~ / 50 Hz 
 • rozmery: 7 x 6,7 x 2,5 cm</t>
        </is>
      </c>
    </row>
    <row r="341">
      <c r="A341" s="3" t="inlineStr">
        <is>
          <t>LNL 500</t>
        </is>
      </c>
      <c r="B341" s="2" t="inlineStr">
        <is>
          <t>LED pozičné svietidlo, so spínačom, 230V</t>
        </is>
      </c>
      <c r="C341" s="1" t="n">
        <v>6.09</v>
      </c>
      <c r="D341" s="7" t="n">
        <f>HYPERLINK("https://www.somogyi.sk/product/led-pozicne-svietidlo-so-spinacom-230v-lnl-500-9327","https://www.somogyi.sk/product/led-pozicne-svietidlo-so-spinacom-230v-lnl-500-9327")</f>
        <v>0.0</v>
      </c>
      <c r="E341" s="7" t="n">
        <f>HYPERLINK("https://www.somogyi.sk/productimages/product_main_images/small/09327.jpg","https://www.somogyi.sk/productimages/product_main_images/small/09327.jpg")</f>
        <v>0.0</v>
      </c>
      <c r="F341" s="2" t="inlineStr">
        <is>
          <t>5998312781340</t>
        </is>
      </c>
      <c r="G341" s="4" t="inlineStr">
        <is>
          <t xml:space="preserve"> • zdroj svetla: LED 
 • výkon: 0,7 W 
 • počet LED: 5 ks 
 • farba LED: studená biela 
 • vypínač: áno 
 • napájanie: 230 V~ / 50 Hz 
 • rozmery: 4,5 x 11,5 x 4 cm</t>
        </is>
      </c>
    </row>
    <row r="342">
      <c r="A342" s="3" t="inlineStr">
        <is>
          <t>PNL 5</t>
        </is>
      </c>
      <c r="B342" s="2" t="inlineStr">
        <is>
          <t>LED otáčateľné svietidlo so senzorom pohybu</t>
        </is>
      </c>
      <c r="C342" s="1" t="n">
        <v>9.89</v>
      </c>
      <c r="D342" s="7" t="n">
        <f>HYPERLINK("https://www.somogyi.sk/product/led-otacatelne-svietidlo-so-senzorom-pohybu-pnl-5-16195","https://www.somogyi.sk/product/led-otacatelne-svietidlo-so-senzorom-pohybu-pnl-5-16195")</f>
        <v>0.0</v>
      </c>
      <c r="E342" s="7" t="n">
        <f>HYPERLINK("https://www.somogyi.sk/productimages/product_main_images/small/16195.jpg","https://www.somogyi.sk/productimages/product_main_images/small/16195.jpg")</f>
        <v>0.0</v>
      </c>
      <c r="F342" s="2" t="inlineStr">
        <is>
          <t>5999084942274</t>
        </is>
      </c>
      <c r="G342" s="4" t="inlineStr">
        <is>
          <t xml:space="preserve"> • zdroj svetla: vysoká svietivosť, 2 W COB LED 
 • výkon: 2 W 
 • počet LED: 1 ks 
 • farba LED: studená biela 
 • PIR senzor pohybu: áno 
 • uhol snímania: ~ 110° 
 • dosah snímania: ~ 4 m 
 • vypínač: ON, OFF, AUTO 
 • typy prevádzok: ON, OFF, AUTO 
 • umiestnenie na stenu: pomocou magnetického podstavca, priloženého obojstranného lepidla a skrutiek sa dá inštalovať na mnoho miest 
 • možnosť umiestniť na rovnú plochu: áno 
 • napájanie: 3 x AAA (1,5 V) batéria, nie je príslušenstvom 
 • ďalšie informácie: možno použiť ako stolnú, nástennú alebo ručnú lampu, 
 •  vrátane skrutiek a obojstranného lepidla, 
 •  svetelný zdroj LED vo svietidle sa nedá vymeniť</t>
        </is>
      </c>
    </row>
    <row r="343">
      <c r="A343" s="3" t="inlineStr">
        <is>
          <t>SLL 500</t>
        </is>
      </c>
      <c r="B343" s="2" t="inlineStr">
        <is>
          <t>LED pozičné svietidlo, s fotosenzorom, 230V</t>
        </is>
      </c>
      <c r="C343" s="1" t="n">
        <v>6.69</v>
      </c>
      <c r="D343" s="7" t="n">
        <f>HYPERLINK("https://www.somogyi.sk/product/led-pozicne-svietidlo-s-fotosenzorom-230v-sll-500-9328","https://www.somogyi.sk/product/led-pozicne-svietidlo-s-fotosenzorom-230v-sll-500-9328")</f>
        <v>0.0</v>
      </c>
      <c r="E343" s="7" t="n">
        <f>HYPERLINK("https://www.somogyi.sk/productimages/product_main_images/small/09328.jpg","https://www.somogyi.sk/productimages/product_main_images/small/09328.jpg")</f>
        <v>0.0</v>
      </c>
      <c r="F343" s="2" t="inlineStr">
        <is>
          <t>5998312781357</t>
        </is>
      </c>
      <c r="G343" s="4" t="inlineStr">
        <is>
          <t xml:space="preserve"> • zdroj svetla: LED 
 • výkon: 0,7 W 
 • počet LED: 5 ks 
 • farba LED: studená biela 
 • fotosenzor: áno 
 • typy prevádzok: zapne sa v tme 
 • napájanie: 230 V~ / 50 Hz 
 • rozmery: 4,5 x 11,5 x 4 cm</t>
        </is>
      </c>
    </row>
    <row r="344">
      <c r="A344" s="3" t="inlineStr">
        <is>
          <t>PNL 22</t>
        </is>
      </c>
      <c r="B344" s="2" t="inlineStr">
        <is>
          <t>LED schodové svietidlo so senzorom pohybu</t>
        </is>
      </c>
      <c r="C344" s="1" t="n">
        <v>14.49</v>
      </c>
      <c r="D344" s="7" t="n">
        <f>HYPERLINK("https://www.somogyi.sk/product/led-schodove-svietidlo-so-senzorom-pohybu-pnl-22-17550","https://www.somogyi.sk/product/led-schodove-svietidlo-so-senzorom-pohybu-pnl-22-17550")</f>
        <v>0.0</v>
      </c>
      <c r="E344" s="7" t="n">
        <f>HYPERLINK("https://www.somogyi.sk/productimages/product_main_images/small/17550.jpg","https://www.somogyi.sk/productimages/product_main_images/small/17550.jpg")</f>
        <v>0.0</v>
      </c>
      <c r="F344" s="2" t="inlineStr">
        <is>
          <t>5999084955724</t>
        </is>
      </c>
      <c r="G344" s="4" t="inlineStr">
        <is>
          <t xml:space="preserve"> • zdroj svetla: 1x2 W COB LED   1x0,06 W DIP LED 
 • počet LED: 2 
 • PIR senzor pohybu: áno 
 • uhol snímania: ~ 120° 
 • dosah snímania: ~ 4 m 
 • vypínač: áno 
 • čas svietenia: 25 - 30 sekúnd 
 • napájanie: 3 x 1,5 V (AAA) batéria, nie je príslušenstvom 
 • rozmery: 9 x 5 x 3,2 cm</t>
        </is>
      </c>
    </row>
    <row r="345">
      <c r="A345" s="3" t="inlineStr">
        <is>
          <t>LNL 800</t>
        </is>
      </c>
      <c r="B345" s="2" t="inlineStr">
        <is>
          <t>Pozičné svietidlo so spínačom</t>
        </is>
      </c>
      <c r="C345" s="1" t="n">
        <v>4.89</v>
      </c>
      <c r="D345" s="7" t="n">
        <f>HYPERLINK("https://www.somogyi.sk/product/pozicne-svietidlo-so-spinacom-lnl-800-18304","https://www.somogyi.sk/product/pozicne-svietidlo-so-spinacom-lnl-800-18304")</f>
        <v>0.0</v>
      </c>
      <c r="E345" s="7" t="n">
        <f>HYPERLINK("https://www.somogyi.sk/productimages/product_main_images/small/18304.jpg","https://www.somogyi.sk/productimages/product_main_images/small/18304.jpg")</f>
        <v>0.0</v>
      </c>
      <c r="F345" s="2" t="inlineStr">
        <is>
          <t>5999084963262</t>
        </is>
      </c>
      <c r="G345" s="4" t="inlineStr">
        <is>
          <t xml:space="preserve"> • 4 teplé biele a 4 studené biele LED s dlhou životnosťou 
 • voliteľná studená biela, prirodzená a teplá biela farba svetla: 6400K, 4200K, 2700K 
 • za- / vypínač 
 • na vnútorné použitie</t>
        </is>
      </c>
    </row>
    <row r="346">
      <c r="A346" s="3" t="inlineStr">
        <is>
          <t>SNL 300/T</t>
        </is>
      </c>
      <c r="B346" s="2" t="inlineStr">
        <is>
          <t>Žiarivka, 7W, E14</t>
        </is>
      </c>
      <c r="C346" s="1" t="n">
        <v>1.99</v>
      </c>
      <c r="D346" s="7" t="n">
        <f>HYPERLINK("https://www.somogyi.sk/product/ziarivka-7w-e14-snl-300-t-4862","https://www.somogyi.sk/product/ziarivka-7w-e14-snl-300-t-4862")</f>
        <v>0.0</v>
      </c>
      <c r="E346" s="7" t="n">
        <f>HYPERLINK("https://www.somogyi.sk/productimages/product_main_images/small/04862.jpg","https://www.somogyi.sk/productimages/product_main_images/small/04862.jpg")</f>
        <v>0.0</v>
      </c>
      <c r="F346" s="2" t="inlineStr">
        <is>
          <t>5998312743003</t>
        </is>
      </c>
      <c r="G346" s="4" t="inlineStr">
        <is>
          <t xml:space="preserve"> • zdroj svetla: žiarovka 
 • výkon: 7 W 
 • objímka žiarovky: E 14 
 • napájanie: 230 V~ / 50 Hz 
 • rozmery: Ø25 x 55 mm</t>
        </is>
      </c>
    </row>
    <row r="347">
      <c r="A347" s="3" t="inlineStr">
        <is>
          <t>PNL 6</t>
        </is>
      </c>
      <c r="B347" s="2" t="inlineStr">
        <is>
          <t>LED senzor pohybu</t>
        </is>
      </c>
      <c r="C347" s="1" t="n">
        <v>5.79</v>
      </c>
      <c r="D347" s="7" t="n">
        <f>HYPERLINK("https://www.somogyi.sk/product/led-senzor-pohybu-pnl-6-18112","https://www.somogyi.sk/product/led-senzor-pohybu-pnl-6-18112")</f>
        <v>0.0</v>
      </c>
      <c r="E347" s="7" t="n">
        <f>HYPERLINK("https://www.somogyi.sk/productimages/product_main_images/small/18112.jpg","https://www.somogyi.sk/productimages/product_main_images/small/18112.jpg")</f>
        <v>0.0</v>
      </c>
      <c r="F347" s="2" t="inlineStr">
        <is>
          <t>5999084961343</t>
        </is>
      </c>
      <c r="G347" s="4" t="inlineStr">
        <is>
          <t xml:space="preserve"> • zdroj svetla: LED 
 • počet LED: 5 ks 
 • PIR senzor pohybu: áno 
 • uhol snímania: horizontálne: ~120° / vertikálne: ~100° 
 • dosah snímania: ~3 m 
 • fotosenzor: áno 
 • čas svietenia: ~15...20 sekúnd 
 • umiestnenie na stenu: áno 
 • závesné: áno 
 • možnosť umiestniť na rovnú plochu: áno 
 • napájanie: 3 x 1,5 V (AAA) batéria, nie je príslušenstvom 
 • rozmery: ∅8,1 x 2,4 cm 
 •  
 • príslušenstvo: zabudovaný magnet, samolepiaca kovová dostička, obojstranné lepidlo, závesná páska</t>
        </is>
      </c>
    </row>
    <row r="348">
      <c r="A348" s="3" t="inlineStr">
        <is>
          <t>PNL 7</t>
        </is>
      </c>
      <c r="B348" s="2" t="inlineStr">
        <is>
          <t>LED senzor pohybu</t>
        </is>
      </c>
      <c r="C348" s="1" t="n">
        <v>6.89</v>
      </c>
      <c r="D348" s="7" t="n">
        <f>HYPERLINK("https://www.somogyi.sk/product/led-senzor-pohybu-pnl-7-18113","https://www.somogyi.sk/product/led-senzor-pohybu-pnl-7-18113")</f>
        <v>0.0</v>
      </c>
      <c r="E348" s="7" t="n">
        <f>HYPERLINK("https://www.somogyi.sk/productimages/product_main_images/small/18113.jpg","https://www.somogyi.sk/productimages/product_main_images/small/18113.jpg")</f>
        <v>0.0</v>
      </c>
      <c r="F348" s="2" t="inlineStr">
        <is>
          <t>5999084961350</t>
        </is>
      </c>
      <c r="G348" s="4" t="inlineStr">
        <is>
          <t xml:space="preserve"> • zdroj svetla: LED 
 • farba LED: studená biela 
 • PIR senzor pohybu: áno 
 • uhol snímania: horizontálne: ~120° / vertikálne: ~100° 
 • dosah snímania: ~6 m 
 • fotosenzor: áno 
 • vypínač: áno 
 • typy prevádzok: zapnúť / automatický / vypnúť 
 • čas svietenia: ~20 sekúnd 
 • napájanie: 4 x 1,5 V (AAA) batéria, nie je príslušenstvom 
 • rozmery: 23,6 x 3 x 1,4 cm 
 • funkcie: automatický alebo nepretržitý režim svietenia 
 • príslušenstvo: zabudovaný magnet, samolepiaca kovová dostička</t>
        </is>
      </c>
    </row>
    <row r="349">
      <c r="A349" s="6" t="inlineStr">
        <is>
          <t xml:space="preserve">   Osvetlenie / Kempingové svietidlo</t>
        </is>
      </c>
      <c r="B349" s="6" t="inlineStr">
        <is>
          <t/>
        </is>
      </c>
      <c r="C349" s="6" t="inlineStr">
        <is>
          <t/>
        </is>
      </c>
      <c r="D349" s="6" t="inlineStr">
        <is>
          <t/>
        </is>
      </c>
      <c r="E349" s="6" t="inlineStr">
        <is>
          <t/>
        </is>
      </c>
      <c r="F349" s="6" t="inlineStr">
        <is>
          <t/>
        </is>
      </c>
      <c r="G349" s="6" t="inlineStr">
        <is>
          <t/>
        </is>
      </c>
    </row>
    <row r="350">
      <c r="A350" s="3" t="inlineStr">
        <is>
          <t>PLZ 1/WH</t>
        </is>
      </c>
      <c r="B350" s="2" t="inlineStr">
        <is>
          <t>LED závesné svietidlo</t>
        </is>
      </c>
      <c r="C350" s="1" t="n">
        <v>3.49</v>
      </c>
      <c r="D350" s="7" t="n">
        <f>HYPERLINK("https://www.somogyi.sk/product/led-zavesne-svietidlo-plz-1-wh-14728","https://www.somogyi.sk/product/led-zavesne-svietidlo-plz-1-wh-14728")</f>
        <v>0.0</v>
      </c>
      <c r="E350" s="7" t="n">
        <f>HYPERLINK("https://www.somogyi.sk/productimages/product_main_images/small/14728.jpg","https://www.somogyi.sk/productimages/product_main_images/small/14728.jpg")</f>
        <v>0.0</v>
      </c>
      <c r="F350" s="2" t="inlineStr">
        <is>
          <t>5999084927707</t>
        </is>
      </c>
      <c r="G350" s="4" t="inlineStr">
        <is>
          <t xml:space="preserve"> • typ LED: Ø 8 mm 
 • počet LED: 1 ks 
 • farba LED: teplá biela 
 • IP stupeň ochrany: IP 20 
 • závesné: áno (dĺžka kábla: 1 m) 
 • napájanie: 3 x AAA batéria (nie je príslušenstvom) 
 • rozmery: Ø5,5 x 15,5 cm</t>
        </is>
      </c>
    </row>
    <row r="351">
      <c r="A351" s="6" t="inlineStr">
        <is>
          <t xml:space="preserve">   Osvetlenie / Ručné svietidlo</t>
        </is>
      </c>
      <c r="B351" s="6" t="inlineStr">
        <is>
          <t/>
        </is>
      </c>
      <c r="C351" s="6" t="inlineStr">
        <is>
          <t/>
        </is>
      </c>
      <c r="D351" s="6" t="inlineStr">
        <is>
          <t/>
        </is>
      </c>
      <c r="E351" s="6" t="inlineStr">
        <is>
          <t/>
        </is>
      </c>
      <c r="F351" s="6" t="inlineStr">
        <is>
          <t/>
        </is>
      </c>
      <c r="G351" s="6" t="inlineStr">
        <is>
          <t/>
        </is>
      </c>
    </row>
    <row r="352">
      <c r="A352" s="3" t="inlineStr">
        <is>
          <t>PLR 24</t>
        </is>
      </c>
      <c r="B352" s="2" t="inlineStr">
        <is>
          <t>LED batériové svietidlo, 1 W COB LED</t>
        </is>
      </c>
      <c r="C352" s="1" t="n">
        <v>2.39</v>
      </c>
      <c r="D352" s="7" t="n">
        <f>HYPERLINK("https://www.somogyi.sk/product/led-bateriove-svietidlo-1-w-cob-led-plr-24-16161","https://www.somogyi.sk/product/led-bateriove-svietidlo-1-w-cob-led-plr-24-16161")</f>
        <v>0.0</v>
      </c>
      <c r="E352" s="7" t="n">
        <f>HYPERLINK("https://www.somogyi.sk/productimages/product_main_images/small/16161.jpg","https://www.somogyi.sk/productimages/product_main_images/small/16161.jpg")</f>
        <v>0.0</v>
      </c>
      <c r="F352" s="2" t="inlineStr">
        <is>
          <t>5999084941932</t>
        </is>
      </c>
      <c r="G352" s="4" t="inlineStr">
        <is>
          <t>LED batériové svietidlo</t>
        </is>
      </c>
    </row>
    <row r="353">
      <c r="A353" s="3" t="inlineStr">
        <is>
          <t>PSL 01</t>
        </is>
      </c>
      <c r="B353" s="2" t="inlineStr">
        <is>
          <t>Akumulátorové výkonné svietidlo, 850 lm</t>
        </is>
      </c>
      <c r="C353" s="1" t="n">
        <v>28.99</v>
      </c>
      <c r="D353" s="7" t="n">
        <f>HYPERLINK("https://www.somogyi.sk/product/akumulatorove-vykonne-svietidlo-850-lm-psl-01-17598","https://www.somogyi.sk/product/akumulatorove-vykonne-svietidlo-850-lm-psl-01-17598")</f>
        <v>0.0</v>
      </c>
      <c r="E353" s="7" t="n">
        <f>HYPERLINK("https://www.somogyi.sk/productimages/product_main_images/small/17598.jpg","https://www.somogyi.sk/productimages/product_main_images/small/17598.jpg")</f>
        <v>0.0</v>
      </c>
      <c r="F353" s="2" t="inlineStr">
        <is>
          <t>5999084956202</t>
        </is>
      </c>
      <c r="G353" s="4" t="inlineStr">
        <is>
          <t xml:space="preserve"> • farba: čierna/červená 
 • zdroj svetla: vysoká svietivosť (10 W) LED 
 • svietivosť: max. 850 lm 
 • napájanie: zabudovaný 4000 mAh Li-ion akumulátor 
 • rozmery: 135 x 180 x 210 mm 
 • balenie: 1 ks</t>
        </is>
      </c>
    </row>
    <row r="354">
      <c r="A354" s="6" t="inlineStr">
        <is>
          <t xml:space="preserve">   Osvetlenie / Osvetlenie do nábytku, USB svietidlo, nabíjateľné ručné svietidlo</t>
        </is>
      </c>
      <c r="B354" s="6" t="inlineStr">
        <is>
          <t/>
        </is>
      </c>
      <c r="C354" s="6" t="inlineStr">
        <is>
          <t/>
        </is>
      </c>
      <c r="D354" s="6" t="inlineStr">
        <is>
          <t/>
        </is>
      </c>
      <c r="E354" s="6" t="inlineStr">
        <is>
          <t/>
        </is>
      </c>
      <c r="F354" s="6" t="inlineStr">
        <is>
          <t/>
        </is>
      </c>
      <c r="G354" s="6" t="inlineStr">
        <is>
          <t/>
        </is>
      </c>
    </row>
    <row r="355">
      <c r="A355" s="3" t="inlineStr">
        <is>
          <t>GL 03</t>
        </is>
      </c>
      <c r="B355" s="2" t="inlineStr">
        <is>
          <t>LED batériové svietidlo, univerzálny, samolepiaci</t>
        </is>
      </c>
      <c r="C355" s="1" t="n">
        <v>1.99</v>
      </c>
      <c r="D355" s="7" t="n">
        <f>HYPERLINK("https://www.somogyi.sk/product/led-bateriove-svietidlo-univerzalny-samolepiaci-gl-03-15322","https://www.somogyi.sk/product/led-bateriove-svietidlo-univerzalny-samolepiaci-gl-03-15322")</f>
        <v>0.0</v>
      </c>
      <c r="E355" s="7" t="n">
        <f>HYPERLINK("https://www.somogyi.sk/productimages/product_main_images/small/15322.jpg","https://www.somogyi.sk/productimages/product_main_images/small/15322.jpg")</f>
        <v>0.0</v>
      </c>
      <c r="F355" s="2" t="inlineStr">
        <is>
          <t>5999084933562</t>
        </is>
      </c>
      <c r="G355" s="4" t="inlineStr">
        <is>
          <t xml:space="preserve"> • farba: strieborná 
 • materiál: plast 
 • zdroj svetla: studená biela LED 
 • počet zdrojov svetla: 3 ks 
 • charakteristiky: samolepiaci podstavec 
 • napájanie: 3 x AAA batéria (nie je príslušenstvom) 
 • rozmery: Ø7 x 2,5 cm</t>
        </is>
      </c>
    </row>
    <row r="356">
      <c r="A356" s="3" t="inlineStr">
        <is>
          <t>GL 05</t>
        </is>
      </c>
      <c r="B356" s="2" t="inlineStr">
        <is>
          <t>LED batériové svietidlo, univerzálne, samolepiace</t>
        </is>
      </c>
      <c r="C356" s="1" t="n">
        <v>4.49</v>
      </c>
      <c r="D356" s="7" t="n">
        <f>HYPERLINK("https://www.somogyi.sk/product/led-bateriove-svietidlo-univerzalne-samolepiace-gl-05-15742","https://www.somogyi.sk/product/led-bateriove-svietidlo-univerzalne-samolepiace-gl-05-15742")</f>
        <v>0.0</v>
      </c>
      <c r="E356" s="7" t="n">
        <f>HYPERLINK("https://www.somogyi.sk/productimages/product_main_images/small/15742.jpg","https://www.somogyi.sk/productimages/product_main_images/small/15742.jpg")</f>
        <v>0.0</v>
      </c>
      <c r="F356" s="2" t="inlineStr">
        <is>
          <t>5999084937768</t>
        </is>
      </c>
      <c r="G356" s="4" t="inlineStr">
        <is>
          <t xml:space="preserve"> • farba: biela 
 • materiál: plast 
 • zdroj svetla: LED 
 • počet zdrojov svetla: 1x3 W studená biela (4200 K) COB LED 
 • napájanie: 3x1,5 V (AAA) batéria (nie je príslušenstvom) 
 • rozmery: Ø10x3cm</t>
        </is>
      </c>
    </row>
    <row r="357">
      <c r="A357" s="6" t="inlineStr">
        <is>
          <t xml:space="preserve">   Osvetlenie / NEBO</t>
        </is>
      </c>
      <c r="B357" s="6" t="inlineStr">
        <is>
          <t/>
        </is>
      </c>
      <c r="C357" s="6" t="inlineStr">
        <is>
          <t/>
        </is>
      </c>
      <c r="D357" s="6" t="inlineStr">
        <is>
          <t/>
        </is>
      </c>
      <c r="E357" s="6" t="inlineStr">
        <is>
          <t/>
        </is>
      </c>
      <c r="F357" s="6" t="inlineStr">
        <is>
          <t/>
        </is>
      </c>
      <c r="G357" s="6" t="inlineStr">
        <is>
          <t/>
        </is>
      </c>
    </row>
    <row r="358">
      <c r="A358" s="3" t="inlineStr">
        <is>
          <t>NEB-FLT-1016-G</t>
        </is>
      </c>
      <c r="B358" s="2" t="inlineStr">
        <is>
          <t>NEBO DAVINCI™ 8000</t>
        </is>
      </c>
      <c r="C358" s="1" t="n">
        <v>127.9</v>
      </c>
      <c r="D358" s="7" t="n">
        <f>HYPERLINK("https://www.somogyi.sk/product/nebo-davinci-8000-neb-flt-1016-g-18380","https://www.somogyi.sk/product/nebo-davinci-8000-neb-flt-1016-g-18380")</f>
        <v>0.0</v>
      </c>
      <c r="E358" s="7" t="n">
        <f>HYPERLINK("https://www.somogyi.sk/productimages/product_main_images/small/18380.jpg","https://www.somogyi.sk/productimages/product_main_images/small/18380.jpg")</f>
        <v>0.0</v>
      </c>
      <c r="F358" s="2" t="inlineStr">
        <is>
          <t>5060945230615</t>
        </is>
      </c>
      <c r="G358" s="4" t="inlineStr">
        <is>
          <t xml:space="preserve"> • N/A: áno 
 • N/A: áno 
 • ochrana proti vode: IP54 
 • rozmery: 27,31 x 5,72 x 5,72 cm</t>
        </is>
      </c>
    </row>
    <row r="359">
      <c r="A359" s="3" t="inlineStr">
        <is>
          <t>NEB-FLT-1015-G</t>
        </is>
      </c>
      <c r="B359" s="2" t="inlineStr">
        <is>
          <t>NEBO DAVINCI 18000</t>
        </is>
      </c>
      <c r="C359" s="1" t="n">
        <v>197.9</v>
      </c>
      <c r="D359" s="7" t="n">
        <f>HYPERLINK("https://www.somogyi.sk/product/nebo-davinci-18000-neb-flt-1015-g-18318","https://www.somogyi.sk/product/nebo-davinci-18000-neb-flt-1015-g-18318")</f>
        <v>0.0</v>
      </c>
      <c r="E359" s="7" t="n">
        <f>HYPERLINK("https://www.somogyi.sk/productimages/product_main_images/small/18318.jpg","https://www.somogyi.sk/productimages/product_main_images/small/18318.jpg")</f>
        <v>0.0</v>
      </c>
      <c r="F359" s="2" t="inlineStr">
        <is>
          <t>5060945230592</t>
        </is>
      </c>
      <c r="G359" s="4" t="inlineStr">
        <is>
          <t xml:space="preserve"> • 18000 lm 
 • eloxovaný hliník leteckej kvality 
 • vodotesná (IP67) a odolná voči nárazom 
 • 2x zoom 
 • Smart Power Control (SPC) 
 • Smart Temperature Control (STC) 
 • turbo (18000 lm): 30 sekundové intervaly / 253 m 
 • vysoká svietivosť (10000 lm): 2 h / 189 m 
 • stredná svietivosť (5000 lm): 3 h / 133 m 
 • nízka svietivosť (800 lm): 12 h / 53 m 
 • blikanie (18.000 lm): 2 h / 253 m 
 • 5000 mAh, 7,4V akumulátor 
 • rozmery: 35 x ∅6,5 cm</t>
        </is>
      </c>
    </row>
    <row r="360">
      <c r="A360" s="3" t="inlineStr">
        <is>
          <t>NB7003</t>
        </is>
      </c>
      <c r="B360" s="2" t="inlineStr">
        <is>
          <t>NEBO MYCRO 400 RC/HL, čelovka</t>
        </is>
      </c>
      <c r="C360" s="1" t="n">
        <v>14.99</v>
      </c>
      <c r="D360" s="7" t="n">
        <f>HYPERLINK("https://www.somogyi.sk/product/nebo-mycro-400-rc-hl-celovka-nb7003-18123","https://www.somogyi.sk/product/nebo-mycro-400-rc-hl-celovka-nb7003-18123")</f>
        <v>0.0</v>
      </c>
      <c r="E360" s="7" t="n">
        <f>HYPERLINK("https://www.somogyi.sk/productimages/product_main_images/small/18123.jpg","https://www.somogyi.sk/productimages/product_main_images/small/18123.jpg")</f>
        <v>0.0</v>
      </c>
      <c r="F360" s="2" t="inlineStr">
        <is>
          <t>5060063228037</t>
        </is>
      </c>
      <c r="G360" s="4" t="inlineStr">
        <is>
          <t xml:space="preserve"> • materiál: eloxovaný hliník leteckej kvality 
 • typy prevádzok: 6 druhov 
 •  
 • N/A: áno 
 • N/A: áno 
 • zobrazenie nízkeho napätia: áno 
 • napájanie: 500 mAh zabudovaný akumulátor (nabíjateľný) 
 • rozmery: 4,7 x 3,2 x 3 cm (svietidlo)</t>
        </is>
      </c>
    </row>
    <row r="361">
      <c r="A361" s="3" t="inlineStr">
        <is>
          <t>NEB-POC-1000-G</t>
        </is>
      </c>
      <c r="B361" s="2" t="inlineStr">
        <is>
          <t>NEBO INSPECTOR™ 500+</t>
        </is>
      </c>
      <c r="C361" s="1" t="n">
        <v>36.99</v>
      </c>
      <c r="D361" s="7" t="n">
        <f>HYPERLINK("https://www.somogyi.sk/product/nebo-inspector-500-neb-poc-1000-g-17825","https://www.somogyi.sk/product/nebo-inspector-500-neb-poc-1000-g-17825")</f>
        <v>0.0</v>
      </c>
      <c r="E361" s="7" t="n">
        <f>HYPERLINK("https://www.somogyi.sk/productimages/product_main_images/small/17825.jpg","https://www.somogyi.sk/productimages/product_main_images/small/17825.jpg")</f>
        <v>0.0</v>
      </c>
      <c r="F361" s="2" t="inlineStr">
        <is>
          <t>5060063228945</t>
        </is>
      </c>
      <c r="G361" s="4" t="inlineStr">
        <is>
          <t xml:space="preserve"> • materiál: eloxovaný hliník leteckej kvality 
 • typy prevádzok: 2 x 4 
 •  
 • N/A: áno 
 • magnetický podstavec: áno 
 • ochrana proti vode: vodotesný a odolný voči nárazom (IPX7) 
 • zobrazenie nízkeho napätia: áno 
 • ďalšie informácie: odstrániteľný držiak, nastaviteľný uhol skonu 
 • rozmery: 15,6 x 2 x 2 cm (v zasunutom stave)</t>
        </is>
      </c>
    </row>
    <row r="362">
      <c r="A362" s="3" t="inlineStr">
        <is>
          <t>NEB-SPT-1004-G</t>
        </is>
      </c>
      <c r="B362" s="2" t="inlineStr">
        <is>
          <t>NEBO LUXTREME SL25R</t>
        </is>
      </c>
      <c r="C362" s="1" t="n">
        <v>79.99</v>
      </c>
      <c r="D362" s="7" t="n">
        <f>HYPERLINK("https://www.somogyi.sk/product/nebo-luxtreme-sl25r-neb-spt-1004-g-17824","https://www.somogyi.sk/product/nebo-luxtreme-sl25r-neb-spt-1004-g-17824")</f>
        <v>0.0</v>
      </c>
      <c r="E362" s="7" t="n">
        <f>HYPERLINK("https://www.somogyi.sk/productimages/product_main_images/small/17824.jpg","https://www.somogyi.sk/productimages/product_main_images/small/17824.jpg")</f>
        <v>0.0</v>
      </c>
      <c r="F362" s="2" t="inlineStr">
        <is>
          <t>5060063229379</t>
        </is>
      </c>
      <c r="G362" s="4" t="inlineStr">
        <is>
          <t xml:space="preserve"> • materiál: eloxovaný hliník leteckej kvality 
 • typy prevádzok: 3 druhy 
 •  
 • N/A: áno 
 • magnetický podstavec: áno 
 • ochrana proti vode: vodotesný a odolný voči nárazom  (IP67) 
 • napájanie: akumulátor: Li-Ion 18650, 2000 mAh 
 • rozmery: 18 x 13,2 x 6 cm</t>
        </is>
      </c>
    </row>
    <row r="363">
      <c r="A363" s="3" t="inlineStr">
        <is>
          <t>NEB-7007-G</t>
        </is>
      </c>
      <c r="B363" s="2" t="inlineStr">
        <is>
          <t>NEBO ANGLE LIGHT</t>
        </is>
      </c>
      <c r="C363" s="1" t="n">
        <v>13.99</v>
      </c>
      <c r="D363" s="7" t="n">
        <f>HYPERLINK("https://www.somogyi.sk/product/nebo-angle-light-neb-7007-g-17821","https://www.somogyi.sk/product/nebo-angle-light-neb-7007-g-17821")</f>
        <v>0.0</v>
      </c>
      <c r="E363" s="7" t="n">
        <f>HYPERLINK("https://www.somogyi.sk/productimages/product_main_images/small/17821.jpg","https://www.somogyi.sk/productimages/product_main_images/small/17821.jpg")</f>
        <v>0.0</v>
      </c>
      <c r="F363" s="2" t="inlineStr">
        <is>
          <t>5060063228877</t>
        </is>
      </c>
      <c r="G363" s="4" t="inlineStr">
        <is>
          <t xml:space="preserve"> • materiál: plast 
 • typy prevádzok: 1 
 • svietivosť: 220 lm 
 • prevádzkový čas: 3,5 h 
 • N/A: 19 m 
 • magnetický podstavec: áno 
 • ochrana proti vode: IPX4 
 • napájanie: 3 x AAA batéria (je príslušenstvom) 
 • ďalšie informácie: háčik / 180 stupňov otočná hlava 
 • rozmery: 8,5 x 8 x 3,8 cm</t>
        </is>
      </c>
    </row>
    <row r="364">
      <c r="A364" s="3" t="inlineStr">
        <is>
          <t>NEB-HLP-0007-G</t>
        </is>
      </c>
      <c r="B364" s="2" t="inlineStr">
        <is>
          <t>NEBO EINSTEIN™ 1000, čelovka</t>
        </is>
      </c>
      <c r="C364" s="1" t="n">
        <v>51.99</v>
      </c>
      <c r="D364" s="7" t="n">
        <f>HYPERLINK("https://www.somogyi.sk/product/nebo-einstein-1000-celovka-neb-hlp-0007-g-17403","https://www.somogyi.sk/product/nebo-einstein-1000-celovka-neb-hlp-0007-g-17403")</f>
        <v>0.0</v>
      </c>
      <c r="E364" s="7" t="n">
        <f>HYPERLINK("https://www.somogyi.sk/productimages/product_main_images/small/17403.jpg","https://www.somogyi.sk/productimages/product_main_images/small/17403.jpg")</f>
        <v>0.0</v>
      </c>
      <c r="F364" s="2" t="inlineStr">
        <is>
          <t>5060063228372</t>
        </is>
      </c>
      <c r="G364" s="4" t="inlineStr">
        <is>
          <t xml:space="preserve"> • materiál: ABS a hliník 
 • typy prevádzok: 5 druhov 
 • svietivosť: max. 1000 lm 
 •  
 • ochrana proti vode: IPX4 
 • napájanie: Li-ion akumulátor, 2200 mAh (je príslušenstvom) alebo 2 x CR123A batéria (nie je príslušenstvom) 
 • ďalšie informácie: Flex-Power technológia 
 • rozmery: (svietidlo) 10,7 x 5,1 x 5,1 cm</t>
        </is>
      </c>
    </row>
    <row r="365">
      <c r="A365" s="3" t="inlineStr">
        <is>
          <t>NEB-6373-G</t>
        </is>
      </c>
      <c r="B365" s="2" t="inlineStr">
        <is>
          <t>NEBO LIL LARRY</t>
        </is>
      </c>
      <c r="C365" s="1" t="n">
        <v>15.99</v>
      </c>
      <c r="D365" s="7" t="n">
        <f>HYPERLINK("https://www.somogyi.sk/product/nebo-lil-larry-neb-6373-g-17408","https://www.somogyi.sk/product/nebo-lil-larry-neb-6373-g-17408")</f>
        <v>0.0</v>
      </c>
      <c r="E365" s="7" t="n">
        <f>HYPERLINK("https://www.somogyi.sk/productimages/product_main_images/small/17408.jpg","https://www.somogyi.sk/productimages/product_main_images/small/17408.jpg")</f>
        <v>0.0</v>
      </c>
      <c r="F365" s="2" t="inlineStr">
        <is>
          <t>5060063228556</t>
        </is>
      </c>
      <c r="G365" s="4" t="inlineStr">
        <is>
          <t xml:space="preserve"> • typy prevádzok: 2 druhy: vysokovýkonné 250 lumenové COB LED montážne svietidlo / vysokovýkonné COB LED červené výstražné blikanie 
 • svietivosť: 250 lm 
 • magnetický podstavec: áno 
 • ochrana proti vode: vodotesný a odolný voči nárazom 
 • napájanie: 3 x AAA batéria (je prísl.) 
 • rozmery: 15,4 x 1,5 x 2 cm</t>
        </is>
      </c>
    </row>
    <row r="366">
      <c r="A366" s="3" t="inlineStr">
        <is>
          <t>NEB-FLT-1007-G</t>
        </is>
      </c>
      <c r="B366" s="2" t="inlineStr">
        <is>
          <t>NEBO 12K</t>
        </is>
      </c>
      <c r="C366" s="1" t="n">
        <v>132.9</v>
      </c>
      <c r="D366" s="7" t="n">
        <f>HYPERLINK("https://www.somogyi.sk/product/nebo-12k-neb-flt-1007-g-17412","https://www.somogyi.sk/product/nebo-12k-neb-flt-1007-g-17412")</f>
        <v>0.0</v>
      </c>
      <c r="E366" s="7" t="n">
        <f>HYPERLINK("https://www.somogyi.sk/productimages/product_main_images/small/17412.jpg","https://www.somogyi.sk/productimages/product_main_images/small/17412.jpg")</f>
        <v>0.0</v>
      </c>
      <c r="F366" s="2" t="inlineStr">
        <is>
          <t>5060063228631</t>
        </is>
      </c>
      <c r="G366" s="4" t="inlineStr">
        <is>
          <t xml:space="preserve"> • materiál: eloxovaný hliník leteckej kvality 
 • typy prevádzok: 5 druhov 
 • svietivosť: max. 12000 lm 
 •  
 • N/A: x2 
 • N/A: áno 
 • N/A: áno 
 • N/A: áno 
 • N/A: áno 
 • ochrana proti vode: vodotesné (IP67) a odolné voči nárazom 
 • zobrazenie nízkeho napätia: áno 
 • ďalšie informácie: plne nabitý akumulátor: 7-28 hodín, v závislosti od výkonu USB 
 • rozmery: 28,1 x Ø6,4 cm</t>
        </is>
      </c>
    </row>
    <row r="367">
      <c r="A367" s="3" t="inlineStr">
        <is>
          <t>NEB-FLT-1006-G</t>
        </is>
      </c>
      <c r="B367" s="2" t="inlineStr">
        <is>
          <t>NEBO Torchy 2k</t>
        </is>
      </c>
      <c r="C367" s="1" t="n">
        <v>46.99</v>
      </c>
      <c r="D367" s="7" t="n">
        <f>HYPERLINK("https://www.somogyi.sk/product/nebo-torchy-2k-neb-flt-1006-g-17417","https://www.somogyi.sk/product/nebo-torchy-2k-neb-flt-1006-g-17417")</f>
        <v>0.0</v>
      </c>
      <c r="E367" s="7" t="n">
        <f>HYPERLINK("https://www.somogyi.sk/productimages/product_main_images/small/17417.jpg","https://www.somogyi.sk/productimages/product_main_images/small/17417.jpg")</f>
        <v>0.0</v>
      </c>
      <c r="F367" s="2" t="inlineStr">
        <is>
          <t>5060063228686</t>
        </is>
      </c>
      <c r="G367" s="4" t="inlineStr">
        <is>
          <t xml:space="preserve"> • materiál: eloxovaný hliník leteckej kvality 
 • typy prevádzok: 5 druhov 
 • svietivosť: max. 2000 lm 
 •  
 • N/A: áno 
 • N/A: áno 
 • ochrana proti vode: vodotesný a odolný voči nárazom  (IP66) 
 •  
 • rozmery: 11 x Ø2,7 cm</t>
        </is>
      </c>
    </row>
    <row r="368">
      <c r="A368" s="3" t="inlineStr">
        <is>
          <t>NEB-HLP-0011-G</t>
        </is>
      </c>
      <c r="B368" s="2" t="inlineStr">
        <is>
          <t>NEBO MYCRO Headlamp, čelovka</t>
        </is>
      </c>
      <c r="C368" s="1" t="n">
        <v>25.99</v>
      </c>
      <c r="D368" s="7" t="n">
        <f>HYPERLINK("https://www.somogyi.sk/product/nebo-mycro-headlamp-celovka-neb-hlp-0011-g-17419","https://www.somogyi.sk/product/nebo-mycro-headlamp-celovka-neb-hlp-0011-g-17419")</f>
        <v>0.0</v>
      </c>
      <c r="E368" s="7" t="n">
        <f>HYPERLINK("https://www.somogyi.sk/productimages/product_main_images/small/17419.jpg","https://www.somogyi.sk/productimages/product_main_images/small/17419.jpg")</f>
        <v>0.0</v>
      </c>
      <c r="F368" s="2" t="inlineStr">
        <is>
          <t>5060063228587</t>
        </is>
      </c>
      <c r="G368" s="4" t="inlineStr">
        <is>
          <t xml:space="preserve"> • materiál: eloxovaný hliník leteckej kvality 
 • typy prevádzok: 6 druhov 
 • svietivosť: max. 500 lm 
 •  
 • N/A: áno 
 • N/A: áno 
 • ochrana proti vode: vodotesný a odolný voči nárazom  (IP67) 
 • zobrazenie nízkeho napätia: áno 
 • napájanie: zabudovaný Li-Po akumulátor 500 mAh 
 • rozmery: (svietidlo) 4,7 x 3,2 x 3 cm</t>
        </is>
      </c>
    </row>
    <row r="369">
      <c r="A369" s="3" t="inlineStr">
        <is>
          <t>NE0015</t>
        </is>
      </c>
      <c r="B369" s="2" t="inlineStr">
        <is>
          <t>NEBO OMNI 2000</t>
        </is>
      </c>
      <c r="C369" s="1" t="n">
        <v>51.99</v>
      </c>
      <c r="D369" s="7" t="n">
        <f>HYPERLINK("https://www.somogyi.sk/product/nebo-omni-2000-ne0015-17427","https://www.somogyi.sk/product/nebo-omni-2000-ne0015-17427")</f>
        <v>0.0</v>
      </c>
      <c r="E369" s="7" t="n">
        <f>HYPERLINK("https://www.somogyi.sk/productimages/product_main_images/small/17427.jpg","https://www.somogyi.sk/productimages/product_main_images/small/17427.jpg")</f>
        <v>0.0</v>
      </c>
      <c r="F369" s="2" t="inlineStr">
        <is>
          <t>5060063227801</t>
        </is>
      </c>
      <c r="G369" s="4" t="inlineStr">
        <is>
          <t xml:space="preserve"> • materiál: kov / plast / guma 
 • typy prevádzok: 6 druhov 
 • svietivosť: max. 2000 lm 
 •  
 • N/A: 4000 mAh power bank 
 • ochrana proti vode: vodotesné a odolné voči nárazom 
 • zobrazenie nízkeho napätia: áno</t>
        </is>
      </c>
    </row>
    <row r="370">
      <c r="A370" s="3" t="inlineStr">
        <is>
          <t>NEB-LTN-6555-G</t>
        </is>
      </c>
      <c r="B370" s="2" t="inlineStr">
        <is>
          <t>NEBO BIG POPPY</t>
        </is>
      </c>
      <c r="C370" s="1" t="n">
        <v>19.99</v>
      </c>
      <c r="D370" s="7" t="n">
        <f>HYPERLINK("https://www.somogyi.sk/product/nebo-big-poppy-neb-ltn-6555-g-18687","https://www.somogyi.sk/product/nebo-big-poppy-neb-ltn-6555-g-18687")</f>
        <v>0.0</v>
      </c>
      <c r="E370" s="7" t="n">
        <f>HYPERLINK("https://www.somogyi.sk/productimages/product_main_images/small/18687.jpg","https://www.somogyi.sk/productimages/product_main_images/small/18687.jpg")</f>
        <v>0.0</v>
      </c>
      <c r="F370" s="2" t="inlineStr">
        <is>
          <t>5060063225395</t>
        </is>
      </c>
      <c r="G370" s="4" t="inlineStr">
        <is>
          <t xml:space="preserve"> • funkcia power bank 
 • kontrolka nabitia 
 • regulácia svietivosti (lampáš a reflektor) 
 • pogumované prevedenie vodotesné a odolné voči nárazom 
 • nastaviteľné držadlo 
 • lampáš (300 lm): 3 h / 14 m 
 • reflektor (120 lm): 15 h / 150 m 
 • blikajúci efekt plameňa (10 lm): 8 h / 4 m 
 • napájanie: nabíjateľný akumulátor (je príslušenstvom) (čas nabíjania: 2 h) 
 • rozmery (v poskladanom stave): 15,1 x ∅10,3 cm</t>
        </is>
      </c>
    </row>
    <row r="371">
      <c r="A371" s="3" t="inlineStr">
        <is>
          <t>NEB-FLT-1070-G</t>
        </is>
      </c>
      <c r="B371" s="2" t="inlineStr">
        <is>
          <t>DAVINCI 12000 RC Mag Dial</t>
        </is>
      </c>
      <c r="C371" s="1" t="n">
        <v>153.9</v>
      </c>
      <c r="D371" s="7" t="n">
        <f>HYPERLINK("https://www.somogyi.sk/product/davinci-12000-rc-mag-dial-neb-flt-1070-g-18560","https://www.somogyi.sk/product/davinci-12000-rc-mag-dial-neb-flt-1070-g-18560")</f>
        <v>0.0</v>
      </c>
      <c r="E371" s="7" t="n">
        <f>HYPERLINK("https://www.somogyi.sk/productimages/product_main_images/small/18560.jpg","https://www.somogyi.sk/productimages/product_main_images/small/18560.jpg")</f>
        <v>0.0</v>
      </c>
      <c r="F371" s="2" t="inlineStr">
        <is>
          <t>5060945231551</t>
        </is>
      </c>
      <c r="G371" s="4" t="inlineStr">
        <is>
          <t xml:space="preserve"> • max. 12000 lm 
 • USB-C nabíjateľná 
 • 2x nastaviteľný zoom 
 • Smart Power Control (SPC) 
 • inteligentná regulácia teploty (STC) 
 • ergonomická gumená rukoväť 
 • kontrolka nabitia akumulátora 
 • eloxovaný hliník leteckej kvality 
 • vodotesná (IP67) a odolná voči nárazom 
 • príslušenstvo: 
 • USB-C-USB nabíjací kábel 
 • remienok na zápästie 
 • režimy: 
 • turbo (12 000 lm): 30 sekundové intervaly / 220 m 
 • vysoká svietivosť (7000 lm): 2 h / 164 m 
 • stredná svietivosť (3000 lm): 3 h / 114 m 
 • nízka svietivosť (300 lm): 12 h / 36 m 
 • blikanie (12 000 lm): 2 h / 220 m</t>
        </is>
      </c>
    </row>
    <row r="372">
      <c r="A372" s="3" t="inlineStr">
        <is>
          <t>NEB-FLT-0021-G</t>
        </is>
      </c>
      <c r="B372" s="2" t="inlineStr">
        <is>
          <t>NEBO DAVINCI™ 3500</t>
        </is>
      </c>
      <c r="C372" s="1" t="n">
        <v>91.99</v>
      </c>
      <c r="D372" s="7" t="n">
        <f>HYPERLINK("https://www.somogyi.sk/product/nebo-davinci-3500-neb-flt-0021-g-17389","https://www.somogyi.sk/product/nebo-davinci-3500-neb-flt-0021-g-17389")</f>
        <v>0.0</v>
      </c>
      <c r="E372" s="7" t="n">
        <f>HYPERLINK("https://www.somogyi.sk/productimages/product_main_images/small/17389.jpg","https://www.somogyi.sk/productimages/product_main_images/small/17389.jpg")</f>
        <v>0.0</v>
      </c>
      <c r="F372" s="2" t="inlineStr">
        <is>
          <t>5060063228198</t>
        </is>
      </c>
      <c r="G372" s="4" t="inlineStr">
        <is>
          <t xml:space="preserve"> • materiál: eloxovaný hliník leteckej kvality 
 • typy prevádzok: 4 druhy 
 • svietivosť: max. 3500 lm 
 •  
 • N/A: x3 
 • N/A: áno 
 • N/A: 4500 mAh power bank 
 • ochrana proti vode: vodotesné a prachotesné (IP67) 
 •  
 • rozmery: (v zasunutom stave) 20,6 x Ø4,8 cm</t>
        </is>
      </c>
    </row>
    <row r="373">
      <c r="A373" s="3" t="inlineStr">
        <is>
          <t>NEB-POC-1002-G</t>
        </is>
      </c>
      <c r="B373" s="2" t="inlineStr">
        <is>
          <t>NEBO Master Series PL500</t>
        </is>
      </c>
      <c r="C373" s="1" t="n">
        <v>45.99</v>
      </c>
      <c r="D373" s="7" t="n">
        <f>HYPERLINK("https://www.somogyi.sk/product/nebo-master-series-pl500-neb-poc-1002-g-18038","https://www.somogyi.sk/product/nebo-master-series-pl500-neb-poc-1002-g-18038")</f>
        <v>0.0</v>
      </c>
      <c r="E373" s="7" t="n">
        <f>HYPERLINK("https://www.somogyi.sk/productimages/product_main_images/small/18038.jpg","https://www.somogyi.sk/productimages/product_main_images/small/18038.jpg")</f>
        <v>0.0</v>
      </c>
      <c r="F373" s="2" t="inlineStr">
        <is>
          <t>5060945230004</t>
        </is>
      </c>
      <c r="G373" s="4" t="inlineStr">
        <is>
          <t xml:space="preserve"> • materiál: eloxovaný hliník leteckej kvality 
 • typy prevádzok: 5 druhov 
 •  
 • N/A: nastaviteľný 4x zoom 
 • N/A: áno 
 • N/A: áno 
 • magnetický podstavec: áno 
 • ochrana proti vode: IP67 
 •  
 • rozmery: 16,26 x 1,98 x 2,29 cm</t>
        </is>
      </c>
    </row>
    <row r="374">
      <c r="A374" s="3" t="inlineStr">
        <is>
          <t>NEB-LTN-1011-G</t>
        </is>
      </c>
      <c r="B374" s="2" t="inlineStr">
        <is>
          <t>NEBO GALILEO™ TEMPEST 350</t>
        </is>
      </c>
      <c r="C374" s="1" t="n">
        <v>22.99</v>
      </c>
      <c r="D374" s="7" t="n">
        <f>HYPERLINK("https://www.somogyi.sk/product/nebo-galileo-tempest-350-neb-ltn-1011-g-18558","https://www.somogyi.sk/product/nebo-galileo-tempest-350-neb-ltn-1011-g-18558")</f>
        <v>0.0</v>
      </c>
      <c r="E374" s="7" t="n">
        <f>HYPERLINK("https://www.somogyi.sk/productimages/product_main_images/small/18558.jpg","https://www.somogyi.sk/productimages/product_main_images/small/18558.jpg")</f>
        <v>0.0</v>
      </c>
      <c r="F374" s="2" t="inlineStr">
        <is>
          <t>5060945231568</t>
        </is>
      </c>
      <c r="G374" s="4" t="inlineStr">
        <is>
          <t xml:space="preserve"> • svietivosť: 350 lm 
 •  
 • ochrana proti vode: IPX7</t>
        </is>
      </c>
    </row>
    <row r="375">
      <c r="A375" s="3" t="inlineStr">
        <is>
          <t>NEB-FLT-1017-G</t>
        </is>
      </c>
      <c r="B375" s="2" t="inlineStr">
        <is>
          <t>NEBO Master Series FL1500</t>
        </is>
      </c>
      <c r="C375" s="1" t="n">
        <v>81.99</v>
      </c>
      <c r="D375" s="7" t="n">
        <f>HYPERLINK("https://www.somogyi.sk/product/nebo-master-series-fl1500-neb-flt-1017-g-18042","https://www.somogyi.sk/product/nebo-master-series-fl1500-neb-flt-1017-g-18042")</f>
        <v>0.0</v>
      </c>
      <c r="E375" s="7" t="n">
        <f>HYPERLINK("https://www.somogyi.sk/productimages/product_main_images/small/18042.jpg","https://www.somogyi.sk/productimages/product_main_images/small/18042.jpg")</f>
        <v>0.0</v>
      </c>
      <c r="F375" s="2" t="inlineStr">
        <is>
          <t>5060945230042</t>
        </is>
      </c>
      <c r="G375" s="4" t="inlineStr">
        <is>
          <t xml:space="preserve"> • materiál: eloxovaný hliník leteckej kvality 
 • typy prevádzok: 5 druhov 
 •  
 • N/A: x3 
 • N/A: áno 
 • magnetický podstavec: áno 
 • ochrana proti vode: IP67 
 •  
 • rozmery: 16 x 3,7 x 3,7 cm</t>
        </is>
      </c>
    </row>
    <row r="376">
      <c r="A376" s="3" t="inlineStr">
        <is>
          <t>NEB-HLP-1006-G</t>
        </is>
      </c>
      <c r="B376" s="2" t="inlineStr">
        <is>
          <t>NEBO Master Series HL1000, čelovka</t>
        </is>
      </c>
      <c r="C376" s="1" t="n">
        <v>78.99</v>
      </c>
      <c r="D376" s="7" t="n">
        <f>HYPERLINK("https://www.somogyi.sk/product/nebo-master-series-hl1000-celovka-neb-hlp-1006-g-18039","https://www.somogyi.sk/product/nebo-master-series-hl1000-celovka-neb-hlp-1006-g-18039")</f>
        <v>0.0</v>
      </c>
      <c r="E376" s="7" t="n">
        <f>HYPERLINK("https://www.somogyi.sk/productimages/product_main_images/small/18039.jpg","https://www.somogyi.sk/productimages/product_main_images/small/18039.jpg")</f>
        <v>0.0</v>
      </c>
      <c r="F376" s="2" t="inlineStr">
        <is>
          <t>5060945230011</t>
        </is>
      </c>
      <c r="G376" s="4" t="inlineStr">
        <is>
          <t xml:space="preserve"> • materiál: eloxovaný hliník leteckej kvality 
 • typy prevádzok: 5 druhov 
 •  
 • N/A: áno 
 • regulovateľná svietivosť: áno 
 • N/A: áno 
 • magnetický podstavec: áno 
 •  
 • rozmery: 2,54 x 9,65 x 3,56 cm</t>
        </is>
      </c>
    </row>
    <row r="377">
      <c r="A377" s="3" t="inlineStr">
        <is>
          <t>NEB-HLP-1001-G</t>
        </is>
      </c>
      <c r="B377" s="2" t="inlineStr">
        <is>
          <t>NEBO TRANSEND™ 1500, čelovka</t>
        </is>
      </c>
      <c r="C377" s="1" t="n">
        <v>69.99</v>
      </c>
      <c r="D377" s="7" t="n">
        <f>HYPERLINK("https://www.somogyi.sk/product/nebo-transend-1500-celovka-neb-hlp-1001-g-17819","https://www.somogyi.sk/product/nebo-transend-1500-celovka-neb-hlp-1001-g-17819")</f>
        <v>0.0</v>
      </c>
      <c r="E377" s="7" t="n">
        <f>HYPERLINK("https://www.somogyi.sk/productimages/product_main_images/small/17819.jpg","https://www.somogyi.sk/productimages/product_main_images/small/17819.jpg")</f>
        <v>0.0</v>
      </c>
      <c r="F377" s="2" t="inlineStr">
        <is>
          <t>5060063228211</t>
        </is>
      </c>
      <c r="G377" s="4" t="inlineStr">
        <is>
          <t xml:space="preserve"> • materiál: eloxovaný hliník leteckej kvality 
 • typy prevádzok: 5 druhov 
 •  
 • N/A: áno 
 • N/A: áno 
 • magnetický podstavec: áno 
 • ochrana proti vode: vodotesný a odolný voči nárazom (IPX7) 
 • zobrazenie nízkeho napätia: áno 
 • napájanie: akumulátor: Li-ion 18650,  3200 mAh 
 • ďalšie informácie: odstrániteľný držiak, nastaviteľný uhol skonu 
 • rozmery: 2,6 x 3,6 x 9,5 cm (svietidlo)</t>
        </is>
      </c>
    </row>
    <row r="378">
      <c r="A378" s="3" t="inlineStr">
        <is>
          <t>NEB-LTN-1003-G</t>
        </is>
      </c>
      <c r="B378" s="2" t="inlineStr">
        <is>
          <t>NEBO GALILEO™ AIR</t>
        </is>
      </c>
      <c r="C378" s="1" t="n">
        <v>46.99</v>
      </c>
      <c r="D378" s="7" t="n">
        <f>HYPERLINK("https://www.somogyi.sk/product/nebo-galileo-air-neb-ltn-1003-g-17820","https://www.somogyi.sk/product/nebo-galileo-air-neb-ltn-1003-g-17820")</f>
        <v>0.0</v>
      </c>
      <c r="E378" s="7" t="n">
        <f>HYPERLINK("https://www.somogyi.sk/productimages/product_main_images/small/17820.jpg","https://www.somogyi.sk/productimages/product_main_images/small/17820.jpg")</f>
        <v>0.0</v>
      </c>
      <c r="F378" s="2" t="inlineStr">
        <is>
          <t>5060063229317</t>
        </is>
      </c>
      <c r="G378" s="4" t="inlineStr">
        <is>
          <t xml:space="preserve"> • typy prevádzok: 6 druhov 
 •  
 • N/A: áno 
 • N/A: áno 
 • ochrana proti vode: IPX4 
 • napájanie: akumulátor: Li-po 104050, 2500 mAh 
 • rozmery: 5,7 x 12 x 12,4 cm (v zasunutom stave)</t>
        </is>
      </c>
    </row>
    <row r="379">
      <c r="A379" s="3" t="inlineStr">
        <is>
          <t>NEB-SPT-1000-G</t>
        </is>
      </c>
      <c r="B379" s="2" t="inlineStr">
        <is>
          <t>NEBO LUXTREME SL75</t>
        </is>
      </c>
      <c r="C379" s="1" t="n">
        <v>124.9</v>
      </c>
      <c r="D379" s="7" t="n">
        <f>HYPERLINK("https://www.somogyi.sk/product/nebo-luxtreme-sl75-neb-spt-1000-g-17822","https://www.somogyi.sk/product/nebo-luxtreme-sl75-neb-spt-1000-g-17822")</f>
        <v>0.0</v>
      </c>
      <c r="E379" s="7" t="n">
        <f>HYPERLINK("https://www.somogyi.sk/productimages/product_main_images/small/17822.jpg","https://www.somogyi.sk/productimages/product_main_images/small/17822.jpg")</f>
        <v>0.0</v>
      </c>
      <c r="F379" s="2" t="inlineStr">
        <is>
          <t>5060063229355</t>
        </is>
      </c>
      <c r="G379" s="4" t="inlineStr">
        <is>
          <t xml:space="preserve"> • materiál: eloxovaný hliník leteckej kvality 
 • typy prevádzok: 3 druhy 
 •  
 • N/A: áno 
 • magnetický podstavec: áno 
 • ochrana proti vode: vodotesný a odolný voči nárazom  (IP67) 
 • napájanie: akumulátor: Li-Ion 21700, 9000 mAh 
 • rozmery: 20,5 x 12 x 7,3 cm</t>
        </is>
      </c>
    </row>
    <row r="380">
      <c r="A380" s="3" t="inlineStr">
        <is>
          <t>NEB-SPT-1003-G</t>
        </is>
      </c>
      <c r="B380" s="2" t="inlineStr">
        <is>
          <t>NEBO LUXTREME SL50</t>
        </is>
      </c>
      <c r="C380" s="1" t="n">
        <v>97.99</v>
      </c>
      <c r="D380" s="7" t="n">
        <f>HYPERLINK("https://www.somogyi.sk/product/nebo-luxtreme-sl50-neb-spt-1003-g-17823","https://www.somogyi.sk/product/nebo-luxtreme-sl50-neb-spt-1003-g-17823")</f>
        <v>0.0</v>
      </c>
      <c r="E380" s="7" t="n">
        <f>HYPERLINK("https://www.somogyi.sk/productimages/product_main_images/small/17823.jpg","https://www.somogyi.sk/productimages/product_main_images/small/17823.jpg")</f>
        <v>0.0</v>
      </c>
      <c r="F380" s="2" t="inlineStr">
        <is>
          <t>5060063229294</t>
        </is>
      </c>
      <c r="G380" s="4" t="inlineStr">
        <is>
          <t xml:space="preserve"> • materiál: eloxovaný hliník leteckej kvality 
 • typy prevádzok: 3 druhy 
 •  
 • N/A: áno 
 • magnetický podstavec: áno 
 • ochrana proti vode: vodotesný a odolný voči nárazom  (IP67) 
 • napájanie: akumulátor: Li-Ion 21700, 9000 mAh 
 • rozmery: 19,5 x 10 x 6 cm</t>
        </is>
      </c>
    </row>
    <row r="381">
      <c r="A381" s="3" t="inlineStr">
        <is>
          <t>NEB-FLT-0016-G</t>
        </is>
      </c>
      <c r="B381" s="2" t="inlineStr">
        <is>
          <t>NEBO NEWTON™ 1000</t>
        </is>
      </c>
      <c r="C381" s="1" t="n">
        <v>40.99</v>
      </c>
      <c r="D381" s="7" t="n">
        <f>HYPERLINK("https://www.somogyi.sk/product/nebo-newton-1000-neb-flt-0016-g-17393","https://www.somogyi.sk/product/nebo-newton-1000-neb-flt-0016-g-17393")</f>
        <v>0.0</v>
      </c>
      <c r="E381" s="7" t="n">
        <f>HYPERLINK("https://www.somogyi.sk/productimages/product_main_images/small/17393.jpg","https://www.somogyi.sk/productimages/product_main_images/small/17393.jpg")</f>
        <v>0.0</v>
      </c>
      <c r="F381" s="2" t="inlineStr">
        <is>
          <t>5060063228235</t>
        </is>
      </c>
      <c r="G381" s="4" t="inlineStr">
        <is>
          <t xml:space="preserve"> • materiál: eloxovaný hliník leteckej kvality 
 • typy prevádzok: 4 druhy 
 • svietivosť: max. 1000 lm 
 •  
 • N/A: x3 
 • N/A: áno 
 • N/A: áno 
 • ochrana proti vode: vodotesný a odolný voči nárazom  (IP67) 
 • napájanie: 4 x AA batéria (je príslušenstvom) 
 • ďalšie informácie: odnímateľná závesná šnúra 
 • rozmery: (v zasunutom stave) 17,8 x Ø4,8 x 3,8 cm</t>
        </is>
      </c>
    </row>
    <row r="382">
      <c r="A382" s="3" t="inlineStr">
        <is>
          <t>NEB-POC-0006-G</t>
        </is>
      </c>
      <c r="B382" s="2" t="inlineStr">
        <is>
          <t>NEBO COLUMBO™ 100</t>
        </is>
      </c>
      <c r="C382" s="1" t="n">
        <v>13.49</v>
      </c>
      <c r="D382" s="7" t="n">
        <f>HYPERLINK("https://www.somogyi.sk/product/nebo-columbo-100-neb-poc-0006-g-17401","https://www.somogyi.sk/product/nebo-columbo-100-neb-poc-0006-g-17401")</f>
        <v>0.0</v>
      </c>
      <c r="E382" s="7" t="n">
        <f>HYPERLINK("https://www.somogyi.sk/productimages/product_main_images/small/17401.jpg","https://www.somogyi.sk/productimages/product_main_images/small/17401.jpg")</f>
        <v>0.0</v>
      </c>
      <c r="F382" s="2" t="inlineStr">
        <is>
          <t>5060063228303</t>
        </is>
      </c>
      <c r="G382" s="4" t="inlineStr">
        <is>
          <t xml:space="preserve"> • materiál: eloxovaný hliník leteckej kvality 
 • typy prevádzok: 3 druhy 
 • svietivosť: max. 100 lm 
 •  
 • N/A: x4 
 • N/A: áno 
 • ochrana proti vode: vodotesné (IP67) 
 • napájanie: 1 x AAA batéria (je príslušenstvom) 
 • ďalšie informácie: oceľový štipec na opasok 
 • rozmery: 17,8 x Ø2 cm</t>
        </is>
      </c>
    </row>
    <row r="383">
      <c r="A383" s="3" t="inlineStr">
        <is>
          <t>NB6373</t>
        </is>
      </c>
      <c r="B383" s="2" t="inlineStr">
        <is>
          <t>NEBO LIL LARRY</t>
        </is>
      </c>
      <c r="C383" s="1" t="n">
        <v>9.09</v>
      </c>
      <c r="D383" s="7" t="n">
        <f>HYPERLINK("https://www.somogyi.sk/product/nebo-lil-larry-nb6373-18116","https://www.somogyi.sk/product/nebo-lil-larry-nb6373-18116")</f>
        <v>0.0</v>
      </c>
      <c r="E383" s="7" t="n">
        <f>HYPERLINK("https://www.somogyi.sk/productimages/product_main_images/small/18116.jpg","https://www.somogyi.sk/productimages/product_main_images/small/18116.jpg")</f>
        <v>0.0</v>
      </c>
      <c r="F383" s="2" t="inlineStr">
        <is>
          <t>5060063224121</t>
        </is>
      </c>
      <c r="G383" s="4" t="inlineStr">
        <is>
          <t xml:space="preserve"> • svietivosť: 250 lm 
 • magnetický podstavec: áno 
 • napájanie: 3 x 1,5 V (AAA) batéria (je príslušenstvom) 
 • rozmery: 15,4 x 1,5 x 2 cm</t>
        </is>
      </c>
    </row>
    <row r="384">
      <c r="A384" s="3" t="inlineStr">
        <is>
          <t>NEB-WLT-1008-G</t>
        </is>
      </c>
      <c r="B384" s="2" t="inlineStr">
        <is>
          <t>NEBO OMNI 3K</t>
        </is>
      </c>
      <c r="C384" s="1" t="n">
        <v>68.99</v>
      </c>
      <c r="D384" s="7" t="n">
        <f>HYPERLINK("https://www.somogyi.sk/product/nebo-omni-3k-neb-wlt-1008-g-18389","https://www.somogyi.sk/product/nebo-omni-3k-neb-wlt-1008-g-18389")</f>
        <v>0.0</v>
      </c>
      <c r="E384" s="7" t="n">
        <f>HYPERLINK("https://www.somogyi.sk/productimages/product_main_images/small/18389.jpg","https://www.somogyi.sk/productimages/product_main_images/small/18389.jpg")</f>
        <v>0.0</v>
      </c>
      <c r="F384" s="2" t="inlineStr">
        <is>
          <t>5060063229744</t>
        </is>
      </c>
      <c r="G384" s="4" t="inlineStr">
        <is>
          <t xml:space="preserve"> • 3000 lm montážne svietidlo nastaviteľné vo všetkých smeroch 
 • USB-C nabíjacia zásuvka                                                    
 • power bank  
 • akumulátor: 1 x 21700 Li-ion, 4000 mAh, 7,4 V 
 • otočná magnetická rukoväť 
 • otočné COB panely 
 • vodotesné a odolné voči nárazom (IPX4) 
 • protišmyková gumová vrstva 
 • signalizácia nabitia akumulátora 
 • zadný Za-/Vypínač a tlačidlá nastavenia svietivosti 
 • režimy: 
 • obidva COB (3000 lm) - 1 h / 70 m 
 • obidva COB (300 lm) - 4 h / 22 m 
 • jeden COB (1500 lm) - 2 h / 50 m 
 • jeden COB (150 lm) - 8 h / 18 m 
 • červený COB (7 lm) - 11 h / 8 m 
 • červený COB stroboskop (20 lm) - 20 h / 8 m 
 • príslušenstvo: USB-C nabíjací kábel 
 • rozmery (v poskladanom stave): 12,7 x 4,98 x 13,66 cm</t>
        </is>
      </c>
    </row>
    <row r="385">
      <c r="A385" s="3" t="inlineStr">
        <is>
          <t>NE6526</t>
        </is>
      </c>
      <c r="B385" s="2" t="inlineStr">
        <is>
          <t>NEBO ARMOR 3</t>
        </is>
      </c>
      <c r="C385" s="1" t="n">
        <v>17.49</v>
      </c>
      <c r="D385" s="7" t="n">
        <f>HYPERLINK("https://www.somogyi.sk/product/nebo-armor-3-ne6526-18125","https://www.somogyi.sk/product/nebo-armor-3-ne6526-18125")</f>
        <v>0.0</v>
      </c>
      <c r="E385" s="7" t="n">
        <f>HYPERLINK("https://www.somogyi.sk/productimages/product_main_images/small/18125.jpg","https://www.somogyi.sk/productimages/product_main_images/small/18125.jpg")</f>
        <v>0.0</v>
      </c>
      <c r="F385" s="2" t="inlineStr">
        <is>
          <t>5060063226712</t>
        </is>
      </c>
      <c r="G385" s="4" t="inlineStr">
        <is>
          <t xml:space="preserve"> • typy prevádzok: 3 režimy 
 • svietivosť: COB montážne svietidlo: 360 lm • spot svietidlo: 160 lm • červené COB montážne svietidlo: 40 lm 
 • prevádzkový čas: COB montážne svietidlo: 2,5 h • spot svietidlo: 5 h • červené  COB montážne svietidlo: 1,5 h 
 • N/A: COB montážne svietidlo: 44 m • spot svietidlo: 83 m • červené COB montážne svietidlo: 16 m 
 • regulovateľná svietivosť: áno 
 • N/A: áno 
 •  
 • napájanie: 3 x AAA batéria (je príslušenstvom) 
 • rozmery: 14,6 x 6,2 x 3,2 cm 
 • hmotnosť: 195 gr</t>
        </is>
      </c>
    </row>
    <row r="386">
      <c r="A386" s="3" t="inlineStr">
        <is>
          <t>NEB-FLT-1061-G</t>
        </is>
      </c>
      <c r="B386" s="2" t="inlineStr">
        <is>
          <t>NEBO TORCHY UV</t>
        </is>
      </c>
      <c r="C386" s="1" t="n">
        <v>18.49</v>
      </c>
      <c r="D386" s="7" t="n">
        <f>HYPERLINK("https://www.somogyi.sk/product/nebo-torchy-uv-neb-flt-1061-g-18388","https://www.somogyi.sk/product/nebo-torchy-uv-neb-flt-1061-g-18388")</f>
        <v>0.0</v>
      </c>
      <c r="E386" s="7" t="n">
        <f>HYPERLINK("https://www.somogyi.sk/productimages/product_main_images/small/18388.jpg","https://www.somogyi.sk/productimages/product_main_images/small/18388.jpg")</f>
        <v>0.0</v>
      </c>
      <c r="F386" s="2" t="inlineStr">
        <is>
          <t>5060945231384</t>
        </is>
      </c>
      <c r="G386" s="4" t="inlineStr">
        <is>
          <t xml:space="preserve"> • UV svietidlo 
 • Dual UV-A technológia (2x 395nm + 1x365nm LED)  
 • 2 režimy svietivosti (vysoká – nízka) 
 • tlačidlové ovládanie 
 • hliníkové prevedenie 
 • vodotesné (IPX4) 
 • napájanie: 3x AAA batéria 
 • rozmery: 9,5 x 2,8 x 2,8 cm 
 • hmotnosť: 110 g</t>
        </is>
      </c>
    </row>
    <row r="387">
      <c r="A387" s="3" t="inlineStr">
        <is>
          <t>NEB-WLT-1007-G</t>
        </is>
      </c>
      <c r="B387" s="2" t="inlineStr">
        <is>
          <t>NEBO SLIM 1200</t>
        </is>
      </c>
      <c r="C387" s="1" t="n">
        <v>45.99</v>
      </c>
      <c r="D387" s="7" t="n">
        <f>HYPERLINK("https://www.somogyi.sk/product/nebo-slim-1200-neb-wlt-1007-g-18387","https://www.somogyi.sk/product/nebo-slim-1200-neb-wlt-1007-g-18387")</f>
        <v>0.0</v>
      </c>
      <c r="E387" s="7" t="n">
        <f>HYPERLINK("https://www.somogyi.sk/productimages/product_main_images/small/18387.jpg","https://www.somogyi.sk/productimages/product_main_images/small/18387.jpg")</f>
        <v>0.0</v>
      </c>
      <c r="F387" s="2" t="inlineStr">
        <is>
          <t>5060945230660</t>
        </is>
      </c>
      <c r="G387" s="4" t="inlineStr">
        <is>
          <t xml:space="preserve"> • akumulátorová 1200 lm baterka 
 • USB-C nabíjacia zásuvka 
 • eloxovaný hliník leteckej kvality 
 • vodotesné a odolné voči nárazom (IPX7) 
 • power bank 
 • akumulátor: 1x 803450 Li-Pol, 1500 mAh, 3,7V 
 • magnetický štipec na opasok a spodok 
 • reguľovateľná svietivosť, s pamäťou 
 • Direct-to-Red 
 • Smart Power Control 
 • rozmery: 13 x 3,5 x 25,5 cm 
 • režimy: 
 • turbo (1200 lm): 30 sek / 52 m 
 • vysoká svietivosť (700 lm): 1,759 h / 41 m  
 • stredná svietivosť (350 lm): 3 h / 29 m 
 • nízka svietivosť (30 lm): 12 h / 8 m 
 • stroboskop (700 lm): 2 h / 41 m 
 • červený stroboskop (8 lm): 6 h / 4 m 
 • príslušenstvo: USB-C kábel</t>
        </is>
      </c>
    </row>
    <row r="388">
      <c r="A388" s="3" t="inlineStr">
        <is>
          <t>NEB-FLT-1033-G</t>
        </is>
      </c>
      <c r="B388" s="2" t="inlineStr">
        <is>
          <t>NEBO BIG LARRY PRO</t>
        </is>
      </c>
      <c r="C388" s="1" t="n">
        <v>45.99</v>
      </c>
      <c r="D388" s="7" t="n">
        <f>HYPERLINK("https://www.somogyi.sk/product/nebo-big-larry-pro-neb-flt-1033-g-18386","https://www.somogyi.sk/product/nebo-big-larry-pro-neb-flt-1033-g-18386")</f>
        <v>0.0</v>
      </c>
      <c r="E388" s="7" t="n">
        <f>HYPERLINK("https://www.somogyi.sk/productimages/product_main_images/small/18386.jpg","https://www.somogyi.sk/productimages/product_main_images/small/18386.jpg")</f>
        <v>0.0</v>
      </c>
      <c r="F388" s="2" t="inlineStr">
        <is>
          <t>5060945230547</t>
        </is>
      </c>
      <c r="G388" s="4" t="inlineStr">
        <is>
          <t xml:space="preserve"> • akumulátorová 600 lm baterka a montážne svietidlo 
 • USB-C nabíjacia zásuvka  
 • reguľovateľná svietivosť, s pamäťou 
 • Direct-to-Red 
 • eloxovaný hliník leteckej kvality 
 • vodotesné a odolné voči nárazom (IPX7) 
 • oceľový štipec na opasok 
 • silný magnetický podstavec 
 • režimy: 
 • baterka (220 lm): 11 h / 82 m 
 • montážne svietidlo (600 lm): 4,5 h / 33 m 
 • červené svetlo (40 lm): 8 h / 7 m</t>
        </is>
      </c>
    </row>
    <row r="389">
      <c r="A389" s="3" t="inlineStr">
        <is>
          <t>NE1041</t>
        </is>
      </c>
      <c r="B389" s="2" t="inlineStr">
        <is>
          <t>NEBO BIG LARRY 3</t>
        </is>
      </c>
      <c r="C389" s="1" t="n">
        <v>26.99</v>
      </c>
      <c r="D389" s="7" t="n">
        <f>HYPERLINK("https://www.somogyi.sk/product/nebo-big-larry-3-ne1041-18390","https://www.somogyi.sk/product/nebo-big-larry-3-ne1041-18390")</f>
        <v>0.0</v>
      </c>
      <c r="E389" s="7" t="n">
        <f>HYPERLINK("https://www.somogyi.sk/productimages/product_main_images/small/18390.jpg","https://www.somogyi.sk/productimages/product_main_images/small/18390.jpg")</f>
        <v>0.0</v>
      </c>
      <c r="F389" s="2" t="inlineStr">
        <is>
          <t>5060945230301</t>
        </is>
      </c>
      <c r="G389" s="4" t="inlineStr">
        <is>
          <t xml:space="preserve"> • 600 lm batériové montážne svietidlo  
 • eloxovaný hliník leteckej kvality 
 • vodotesné a odolné voči nárazom (IPX4) 
 • reguľovateľná svietivosť, s pamäťou 
 • Direct-to-Red 
 • oceľový štipec na opasok 
 • silný magnet na konci 
 • režimy: 
 • baterka (220 lm) - 8 h / 82 m 
 • montážne svietidlo (600 lm) - 2,5 h / 33 m 
 • červené svetlo (40 lm) - 20 h / 7 m 
 • červený stroboskop - 40 h / 7 m 
 • napájanie: 3 x AA batéria (je príslušenstvom) 
 • rozmery: 19,5 x 2,5 x 2,5 cm</t>
        </is>
      </c>
    </row>
    <row r="390">
      <c r="A390" s="3" t="inlineStr">
        <is>
          <t>NEB-1003-G</t>
        </is>
      </c>
      <c r="B390" s="2" t="inlineStr">
        <is>
          <t>NEBO SLYDE KING 2K</t>
        </is>
      </c>
      <c r="C390" s="1" t="n">
        <v>56.99</v>
      </c>
      <c r="D390" s="7" t="n">
        <f>HYPERLINK("https://www.somogyi.sk/product/nebo-slyde-king-2k-neb-1003-g-18385","https://www.somogyi.sk/product/nebo-slyde-king-2k-neb-1003-g-18385")</f>
        <v>0.0</v>
      </c>
      <c r="E390" s="7" t="n">
        <f>HYPERLINK("https://www.somogyi.sk/productimages/product_main_images/small/18385.jpg","https://www.somogyi.sk/productimages/product_main_images/small/18385.jpg")</f>
        <v>0.0</v>
      </c>
      <c r="F390" s="2" t="inlineStr">
        <is>
          <t>5060945230714</t>
        </is>
      </c>
      <c r="G390" s="4" t="inlineStr">
        <is>
          <t xml:space="preserve"> • 2000 lm akumulátorová baterka a 500 lm montážne svietidlo 
 • USB-C nabíjacia zásuvka 
 • 4x nastaviteľný zoom 
 • nastaviteľná svietivosť 
 • Direct-to-Red 
 • signalizácia nízkeho nabitia akumulátora 
 • pogumovaná rukoväť 
 • eloxovaný hliník leteckej kvality 
 • vodotesná (IP67) a odolná voči nárazom 
 • silný magnetický podstavec 
 • režimy: 
 • baterka s vysokou svietivosťou (2000 lm): 2 h / 409 m 
 • baterka s nízkou svietivosťou (200 lm): 12 h / 125 m 
 • montážne svietidlo s vysokou svietivosťou (500 lm): 4 h / 34 m 
 • montážne svietidlo s nízkou svietivosťou (50 lm): 24 h / 10 m 
 • červené svetlo s vysokou svietivosťou (40 lm): 6 h / 9 m 
 • červené svetlo s nízkou svietivosťou (4 lm): 60 h / 3 m 
 • blikajúce červené svetlo (40 lm): 6 h / 9 m 
 • rozmery (v zasunutom stave): 17,3 x Ø 4,3 cm</t>
        </is>
      </c>
    </row>
    <row r="391">
      <c r="A391" s="3" t="inlineStr">
        <is>
          <t>NEB-HLP-1005-G</t>
        </is>
      </c>
      <c r="B391" s="2" t="inlineStr">
        <is>
          <t>NEBO MYCRO 500</t>
        </is>
      </c>
      <c r="C391" s="1" t="n">
        <v>39.99</v>
      </c>
      <c r="D391" s="7" t="n">
        <f>HYPERLINK("https://www.somogyi.sk/product/nebo-mycro-500-neb-hlp-1005-g-18384","https://www.somogyi.sk/product/nebo-mycro-500-neb-hlp-1005-g-18384")</f>
        <v>0.0</v>
      </c>
      <c r="E391" s="7" t="n">
        <f>HYPERLINK("https://www.somogyi.sk/productimages/product_main_images/small/18384.jpg","https://www.somogyi.sk/productimages/product_main_images/small/18384.jpg")</f>
        <v>0.0</v>
      </c>
      <c r="F391" s="2" t="inlineStr">
        <is>
          <t>5060063229584</t>
        </is>
      </c>
      <c r="G391" s="4" t="inlineStr">
        <is>
          <t xml:space="preserve"> • USB-C nabíjateľná  
 • SPC (Smart Power Control)  
 • vodotesné a odolné voči nárazom (IPX4) 
 • signalizácia nabitia akumulátora 
 • odnímateľný štipec na čiapku s nastaviteľným uhlom sklonu 
 • Direct-to-Red 
 • nastaviteľný držiak 
 • režimy: 
 • spot svietidlo:  
 • turbo (500 lm) - 30 sek intervaly / 90 m 
 • vysoká svietivosť (200 lm) - 1 h / 60 m 
 • stredná svietivosť (100 lm) - 2 h / 42 m 
 • nízka svietivosť (30 lm) - 3 h / 23 m 
 • reflektor:  
 • vysoká svietivosť COB (200 lm) - 25 min / 24 m 
 • nízka svietivosť COB (50 lm) - 1 h / 11 m 
 • červený COB (25 lm) - 35 min / 8 m 
 • akumulátor: Li-Po, 200 mAh, 3,7V 
 • rozmery: 2,54 x 3,05 x 7,24 cm 
 • hmotnosť: 85 g</t>
        </is>
      </c>
    </row>
    <row r="392">
      <c r="A392" s="3" t="inlineStr">
        <is>
          <t>NEB-HLP-1008-G</t>
        </is>
      </c>
      <c r="B392" s="2" t="inlineStr">
        <is>
          <t>NEBO EINSTEIN 600, čelovka</t>
        </is>
      </c>
      <c r="C392" s="1" t="n">
        <v>33.99</v>
      </c>
      <c r="D392" s="7" t="n">
        <f>HYPERLINK("https://www.somogyi.sk/product/nebo-einstein-600-celovka-neb-hlp-1008-g-18383","https://www.somogyi.sk/product/nebo-einstein-600-celovka-neb-hlp-1008-g-18383")</f>
        <v>0.0</v>
      </c>
      <c r="E392" s="7" t="n">
        <f>HYPERLINK("https://www.somogyi.sk/productimages/product_main_images/small/18383.jpg","https://www.somogyi.sk/productimages/product_main_images/small/18383.jpg")</f>
        <v>0.0</v>
      </c>
      <c r="F392" s="2" t="inlineStr">
        <is>
          <t>5060945231223</t>
        </is>
      </c>
      <c r="G392" s="4" t="inlineStr">
        <is>
          <t xml:space="preserve"> • 600 lm čelovka 
 • eloxovaný hliník leteckej kvality 
 • nastaviteľný, odstrániteľný držiak 
 • ocelový štipec na opasok 
 • vodotesné a odolné voči nárazom (IPX6) 
 • silný magnetický podstavec 
 • akumulátor: Li-Ion, 700 mAh, 16340, 3,7V 
 • režimy: 
 • turbo (600 lm): 40 sek / 90 m 
 • vysoká svietivosť (240 lm): 1 h 50 min / 56 m 
 • nízka svietivosť (60 lm): 4 h / 28 m 
 • stroboskop (600 lm): 2 h / 90 m</t>
        </is>
      </c>
    </row>
    <row r="393">
      <c r="A393" s="3" t="inlineStr">
        <is>
          <t>NEB-POC-1003-G</t>
        </is>
      </c>
      <c r="B393" s="2" t="inlineStr">
        <is>
          <t>NEBO COLUMBO™ KEYCHAIN</t>
        </is>
      </c>
      <c r="C393" s="1" t="n">
        <v>11.49</v>
      </c>
      <c r="D393" s="7" t="n">
        <f>HYPERLINK("https://www.somogyi.sk/product/nebo-columbo-keychain-neb-poc-1003-g-18382","https://www.somogyi.sk/product/nebo-columbo-keychain-neb-poc-1003-g-18382")</f>
        <v>0.0</v>
      </c>
      <c r="E393" s="7" t="n">
        <f>HYPERLINK("https://www.somogyi.sk/productimages/product_main_images/small/18382.jpg","https://www.somogyi.sk/productimages/product_main_images/small/18382.jpg")</f>
        <v>0.0</v>
      </c>
      <c r="F393" s="2" t="inlineStr">
        <is>
          <t>5060945230639</t>
        </is>
      </c>
      <c r="G393" s="4" t="inlineStr">
        <is>
          <t xml:space="preserve"> • kľúčenka 
 • eloxovaný hliník leteckej kvality 
 • vodotesné a odolné voči nárazom (IPX7) 
 • napájanie: 1 x AAA batéria (je príslušenstvom) 
 • svietivosť: 100 lm, 1 h / 56 m 
 • rozmery: 8,61 x 1,8 x 1,8 cm</t>
        </is>
      </c>
    </row>
    <row r="394">
      <c r="A394" s="3" t="inlineStr">
        <is>
          <t>NEB-FLT-1046-G</t>
        </is>
      </c>
      <c r="B394" s="2" t="inlineStr">
        <is>
          <t>NEBO DAVINCI™ 450L FLEX</t>
        </is>
      </c>
      <c r="C394" s="1" t="n">
        <v>31.99</v>
      </c>
      <c r="D394" s="7" t="n">
        <f>HYPERLINK("https://www.somogyi.sk/product/nebo-davinci-450l-flex-neb-flt-1046-g-18381","https://www.somogyi.sk/product/nebo-davinci-450l-flex-neb-flt-1046-g-18381")</f>
        <v>0.0</v>
      </c>
      <c r="E394" s="7" t="n">
        <f>HYPERLINK("https://www.somogyi.sk/productimages/product_main_images/small/18381.jpg","https://www.somogyi.sk/productimages/product_main_images/small/18381.jpg")</f>
        <v>0.0</v>
      </c>
      <c r="F394" s="2" t="inlineStr">
        <is>
          <t>5060945230622</t>
        </is>
      </c>
      <c r="G394" s="4" t="inlineStr">
        <is>
          <t xml:space="preserve"> • konvexná šošovka 
 • 6x nastaviteľný zoom 
 • eloxovaný hliník leteckej kvality 
 • vodotesné a odolné voči nárazom (IPX4) 
 • oceľový štipec na opasok nastaviteľný v dvoch smeroch 
 • Flex-Power™ technológia 
 • signalizácia nabitia akumulátora 
 • silný magnetický podstavec 
 • režimy (s akumulátorom): 
 • vysoká svietivosť (250 lm) - 2,5 h / 160 m  
 • nízka svietivosť (80 lm) - 5,5 h / 89 m 
 • stroboskop (250 lm) - 2 h / 160 m 
 • turbo (450 lm) - 40 sek / 237 m 
 • režimy (s batériou): 
 • vysoká svietivosť (90 lm) - 2,5 h / 102 m 
 • nízka svietivosť (30 lm) - 4,5 h / 57 m 
 • stroboskop (90 lm) - 4 h / 102 m 
 • napájanie: Li-ion 14500, 600 mAh, 3,7V 
 • rozmery: 3 x 3 x 10,85 cm</t>
        </is>
      </c>
    </row>
    <row r="395">
      <c r="A395" s="3" t="inlineStr">
        <is>
          <t>NEB-SPT-1005-G</t>
        </is>
      </c>
      <c r="B395" s="2" t="inlineStr">
        <is>
          <t>NEBO Master Series SL25</t>
        </is>
      </c>
      <c r="C395" s="1" t="n">
        <v>125.9</v>
      </c>
      <c r="D395" s="7" t="n">
        <f>HYPERLINK("https://www.somogyi.sk/product/nebo-master-series-sl25-neb-spt-1005-g-18040","https://www.somogyi.sk/product/nebo-master-series-sl25-neb-spt-1005-g-18040")</f>
        <v>0.0</v>
      </c>
      <c r="E395" s="7" t="n">
        <f>HYPERLINK("https://www.somogyi.sk/productimages/product_main_images/small/18040.jpg","https://www.somogyi.sk/productimages/product_main_images/small/18040.jpg")</f>
        <v>0.0</v>
      </c>
      <c r="F395" s="2" t="inlineStr">
        <is>
          <t>5060945230028</t>
        </is>
      </c>
      <c r="G395" s="4" t="inlineStr">
        <is>
          <t xml:space="preserve"> • USB-C, nabíjateľný, typ akumulátora: 2 ks 21700 
 • magnetický kotúč výberu režimu 
 • inteligentné ovládanie výkonu 
 • optimalizovaná krivka výkonu 
 • možnosť montáže na stojan (1/4-20) 
 • obojstranný/odnímateľný oceľový štipec  
 • vodotesná (IP67) 
 • odolná  voči nárazom (2 m) 
 • eloxovaný hliník leteckej kvality 
 • ergonomická gumená rukoväť 
 • silný magnet na konci 
 • LED kontrolka výkonu/nabitia 
 • rozmery: 19,56 x 6,1 x 14,63 cm 
 • režimy: 
 • spot (500 lm) - 6,5 h / 400 m 
 • biela COB (600 lm) - 6 h / 38 m 
 • červená COB (30 lm) - 10,5 h / 12 m</t>
        </is>
      </c>
    </row>
    <row r="396">
      <c r="A396" s="3" t="inlineStr">
        <is>
          <t>NE6908</t>
        </is>
      </c>
      <c r="B396" s="2" t="inlineStr">
        <is>
          <t>NEBO BIG POPPY RC</t>
        </is>
      </c>
      <c r="C396" s="1" t="n">
        <v>42.99</v>
      </c>
      <c r="D396" s="7" t="n">
        <f>HYPERLINK("https://www.somogyi.sk/product/nebo-big-poppy-rc-ne6908-17433","https://www.somogyi.sk/product/nebo-big-poppy-rc-ne6908-17433")</f>
        <v>0.0</v>
      </c>
      <c r="E396" s="7" t="n">
        <f>HYPERLINK("https://www.somogyi.sk/productimages/product_main_images/small/17433.jpg","https://www.somogyi.sk/productimages/product_main_images/small/17433.jpg")</f>
        <v>0.0</v>
      </c>
      <c r="F396" s="2" t="inlineStr">
        <is>
          <t>5060063227719</t>
        </is>
      </c>
      <c r="G396" s="4" t="inlineStr">
        <is>
          <t xml:space="preserve"> • typy prevádzok: 3 druhy 
 • svietivosť: max.300 lm 
 •  
 • N/A: áno 
 • ochrana proti vode: vodotesný a odolný voči nárazom 
 • napájanie: Li-ion akumulátor 2000 mAh 
 • rozmery: 15,1 x Ø10,3 cm 
 • N/A: áno (lampáš a reflektor)</t>
        </is>
      </c>
    </row>
    <row r="397">
      <c r="A397" s="3" t="inlineStr">
        <is>
          <t>NEB-FLT-0022-G</t>
        </is>
      </c>
      <c r="B397" s="2" t="inlineStr">
        <is>
          <t>NEBO DAVINCI™ 5000</t>
        </is>
      </c>
      <c r="C397" s="1" t="n">
        <v>103.9</v>
      </c>
      <c r="D397" s="7" t="n">
        <f>HYPERLINK("https://www.somogyi.sk/product/nebo-davinci-5000-neb-flt-0022-g-17388","https://www.somogyi.sk/product/nebo-davinci-5000-neb-flt-0022-g-17388")</f>
        <v>0.0</v>
      </c>
      <c r="E397" s="7" t="n">
        <f>HYPERLINK("https://www.somogyi.sk/productimages/product_main_images/small/17388.jpg","https://www.somogyi.sk/productimages/product_main_images/small/17388.jpg")</f>
        <v>0.0</v>
      </c>
      <c r="F397" s="2" t="inlineStr">
        <is>
          <t>5060063228181</t>
        </is>
      </c>
      <c r="G397" s="4" t="inlineStr">
        <is>
          <t xml:space="preserve"> • materiál: eloxovaný hliník leteckej kvality 
 • typy prevádzok: 4 druhy 
 • svietivosť: max. 5000 lm 
 •  
 • N/A: x3 
 • N/A: áno 
 • N/A: 4500 mAh power bank 
 • ochrana proti vode: vodotesné a prachotesné (IP67)</t>
        </is>
      </c>
    </row>
    <row r="398">
      <c r="A398" s="3" t="inlineStr">
        <is>
          <t>NEB-FLT-0020-G</t>
        </is>
      </c>
      <c r="B398" s="2" t="inlineStr">
        <is>
          <t>NEBO DAVINCI™ 2000</t>
        </is>
      </c>
      <c r="C398" s="1" t="n">
        <v>71.99</v>
      </c>
      <c r="D398" s="7" t="n">
        <f>HYPERLINK("https://www.somogyi.sk/product/nebo-davinci-2000-neb-flt-0020-g-17390","https://www.somogyi.sk/product/nebo-davinci-2000-neb-flt-0020-g-17390")</f>
        <v>0.0</v>
      </c>
      <c r="E398" s="7" t="n">
        <f>HYPERLINK("https://www.somogyi.sk/productimages/product_main_images/small/17390.jpg","https://www.somogyi.sk/productimages/product_main_images/small/17390.jpg")</f>
        <v>0.0</v>
      </c>
      <c r="F398" s="2" t="inlineStr">
        <is>
          <t>5060063228204</t>
        </is>
      </c>
      <c r="G398" s="4" t="inlineStr">
        <is>
          <t xml:space="preserve"> • materiál: eloxovaný hliník leteckej kvality 
 • typy prevádzok: 4 druhy 
 • svietivosť: max. 2000 lm 
 •  
 • N/A: x4 
 • N/A: áno 
 • N/A: 2000 mAh power bank 
 • ochrana proti vode: vodotesné a prachotesné (IP67) 
 •  
 • rozmery: (v zasunutom stave) 18,4 x Ø3,5</t>
        </is>
      </c>
    </row>
    <row r="399">
      <c r="A399" s="3" t="inlineStr">
        <is>
          <t>NEB-FLT-0018-G</t>
        </is>
      </c>
      <c r="B399" s="2" t="inlineStr">
        <is>
          <t>NEBO DAVINCI™ 1000</t>
        </is>
      </c>
      <c r="C399" s="1" t="n">
        <v>46.99</v>
      </c>
      <c r="D399" s="7" t="n">
        <f>HYPERLINK("https://www.somogyi.sk/product/nebo-davinci-1000-neb-flt-0018-g-17391","https://www.somogyi.sk/product/nebo-davinci-1000-neb-flt-0018-g-17391")</f>
        <v>0.0</v>
      </c>
      <c r="E399" s="7" t="n">
        <f>HYPERLINK("https://www.somogyi.sk/productimages/product_main_images/small/17391.jpg","https://www.somogyi.sk/productimages/product_main_images/small/17391.jpg")</f>
        <v>0.0</v>
      </c>
      <c r="F399" s="2" t="inlineStr">
        <is>
          <t>5060063228419</t>
        </is>
      </c>
      <c r="G399" s="4" t="inlineStr">
        <is>
          <t xml:space="preserve"> • materiál: eloxovaný hliník leteckej kvality 
 • typy prevádzok: 4 druhy 
 • svietivosť: max. 1000 lm 
 •  
 • N/A: x6 
 • N/A: áno 
 • ochrana proti vode: vodotesné a prachotesné (IP67) 
 •  
 • rozmery: (v zasunutom stave) 15,9 x Ø3,5</t>
        </is>
      </c>
    </row>
    <row r="400">
      <c r="A400" s="3" t="inlineStr">
        <is>
          <t>NEB-FLT-0017-G</t>
        </is>
      </c>
      <c r="B400" s="2" t="inlineStr">
        <is>
          <t>NEBO NEWTON™ 1500</t>
        </is>
      </c>
      <c r="C400" s="1" t="n">
        <v>45.99</v>
      </c>
      <c r="D400" s="7" t="n">
        <f>HYPERLINK("https://www.somogyi.sk/product/nebo-newton-1500-neb-flt-0017-g-17392","https://www.somogyi.sk/product/nebo-newton-1500-neb-flt-0017-g-17392")</f>
        <v>0.0</v>
      </c>
      <c r="E400" s="7" t="n">
        <f>HYPERLINK("https://www.somogyi.sk/productimages/product_main_images/small/17392.jpg","https://www.somogyi.sk/productimages/product_main_images/small/17392.jpg")</f>
        <v>0.0</v>
      </c>
      <c r="F400" s="2" t="inlineStr">
        <is>
          <t>5060063228228</t>
        </is>
      </c>
      <c r="G400" s="4" t="inlineStr">
        <is>
          <t xml:space="preserve"> • materiál: eloxovaný hliník leteckej kvality 
 • typy prevádzok: 4 druhy 
 • svietivosť: max. 1500 lm 
 •  
 • N/A: x3 
 • N/A: áno 
 • N/A: áno 
 • ochrana proti vode: vodotesný a odolný voči nárazom  (IP67) 
 • napájanie: 6 x AA batéria (je príslušenstvom) 
 • ďalšie informácie: odnímateľná závesná šnúra</t>
        </is>
      </c>
    </row>
    <row r="401">
      <c r="A401" s="3" t="inlineStr">
        <is>
          <t>NEB-FLT-0014-G</t>
        </is>
      </c>
      <c r="B401" s="2" t="inlineStr">
        <is>
          <t>NEBO NEWTON™ 500</t>
        </is>
      </c>
      <c r="C401" s="1" t="n">
        <v>25.99</v>
      </c>
      <c r="D401" s="7" t="n">
        <f>HYPERLINK("https://www.somogyi.sk/product/nebo-newton-500-neb-flt-0014-g-17394","https://www.somogyi.sk/product/nebo-newton-500-neb-flt-0014-g-17394")</f>
        <v>0.0</v>
      </c>
      <c r="E401" s="7" t="n">
        <f>HYPERLINK("https://www.somogyi.sk/productimages/product_main_images/small/17394.jpg","https://www.somogyi.sk/productimages/product_main_images/small/17394.jpg")</f>
        <v>0.0</v>
      </c>
      <c r="F401" s="2" t="inlineStr">
        <is>
          <t>5060063228259</t>
        </is>
      </c>
      <c r="G401" s="4" t="inlineStr">
        <is>
          <t xml:space="preserve"> • materiál: eloxovaný hliník leteckej kvality 
 • typy prevádzok: 4 druhy 
 • svietivosť: max. 500 lm 
 •  
 • N/A: x4 
 • N/A: áno 
 • ochrana proti vode: vodotesný a odolný voči nárazom  (IP67) 
 • napájanie: 3 x AAA batéria (je prísl.) 
 • ďalšie informácie: odnímateľná závesná šnúra 
 • rozmery: (v zasunutom stave) 13,4 x 3,2 x 3,5 cm</t>
        </is>
      </c>
    </row>
    <row r="402">
      <c r="A402" s="3" t="inlineStr">
        <is>
          <t>NEB-WLT-0024-G</t>
        </is>
      </c>
      <c r="B402" s="2" t="inlineStr">
        <is>
          <t>NEBO FRANKLIN™ TWIST RC</t>
        </is>
      </c>
      <c r="C402" s="1" t="n">
        <v>32.99</v>
      </c>
      <c r="D402" s="7" t="n">
        <f>HYPERLINK("https://www.somogyi.sk/product/nebo-franklin-twist-rc-neb-wlt-0024-g-17396","https://www.somogyi.sk/product/nebo-franklin-twist-rc-neb-wlt-0024-g-17396")</f>
        <v>0.0</v>
      </c>
      <c r="E402" s="7" t="n">
        <f>HYPERLINK("https://www.somogyi.sk/productimages/product_main_images/small/17396.jpg","https://www.somogyi.sk/productimages/product_main_images/small/17396.jpg")</f>
        <v>0.0</v>
      </c>
      <c r="F402" s="2" t="inlineStr">
        <is>
          <t>5060063228280</t>
        </is>
      </c>
      <c r="G402" s="4" t="inlineStr">
        <is>
          <t xml:space="preserve"> • materiál: eloxovaný hliník leteckej kvality 
 • typy prevádzok: 6 druhov 
 • svietivosť: max. 400 lm 
 •  
 • N/A: x4 
 • magnetický podstavec: áno 
 • ochrana proti vode: IPX4 
 • napájanie: Li-ion akumulátor, 2000 mAh 
 • rozmery: (v zasunutom stave) 17,8 x Ø 4,6 cm</t>
        </is>
      </c>
    </row>
    <row r="403">
      <c r="A403" s="3" t="inlineStr">
        <is>
          <t>NEB-POC-0007-G</t>
        </is>
      </c>
      <c r="B403" s="2" t="inlineStr">
        <is>
          <t>NEBO COLUMBO™ 150</t>
        </is>
      </c>
      <c r="C403" s="1" t="n">
        <v>15.99</v>
      </c>
      <c r="D403" s="7" t="n">
        <f>HYPERLINK("https://www.somogyi.sk/product/nebo-columbo-150-neb-poc-0007-g-17400","https://www.somogyi.sk/product/nebo-columbo-150-neb-poc-0007-g-17400")</f>
        <v>0.0</v>
      </c>
      <c r="E403" s="7" t="n">
        <f>HYPERLINK("https://www.somogyi.sk/productimages/product_main_images/small/17400.jpg","https://www.somogyi.sk/productimages/product_main_images/small/17400.jpg")</f>
        <v>0.0</v>
      </c>
      <c r="F403" s="2" t="inlineStr">
        <is>
          <t>5060063228310</t>
        </is>
      </c>
      <c r="G403" s="4" t="inlineStr">
        <is>
          <t xml:space="preserve"> • materiál: eloxovaný hliník leteckej kvality 
 • typy prevádzok: 3 druhy 
 • svietivosť: max. 150 lm 
 •  
 • N/A: x4 
 • N/A: áno 
 • ochrana proti vode: vodotesné (IP67) 
 • napájanie: 2 x AAA batéria (je príslušenstvom) 
 • ďalšie informácie: oceľový štipec na opasok 
 • rozmery: 24,1 x Ø2 cm</t>
        </is>
      </c>
    </row>
    <row r="404">
      <c r="A404" s="3" t="inlineStr">
        <is>
          <t>NEB-HLP-0008-G</t>
        </is>
      </c>
      <c r="B404" s="2" t="inlineStr">
        <is>
          <t>NEBO EINSTEIN™ 1500 FLEX, čelovka</t>
        </is>
      </c>
      <c r="C404" s="1" t="n">
        <v>67.99</v>
      </c>
      <c r="D404" s="7" t="n">
        <f>HYPERLINK("https://www.somogyi.sk/product/nebo-einstein-1500-flex-celovka-neb-hlp-0008-g-17402","https://www.somogyi.sk/product/nebo-einstein-1500-flex-celovka-neb-hlp-0008-g-17402")</f>
        <v>0.0</v>
      </c>
      <c r="E404" s="7" t="n">
        <f>HYPERLINK("https://www.somogyi.sk/productimages/product_main_images/small/17402.jpg","https://www.somogyi.sk/productimages/product_main_images/small/17402.jpg")</f>
        <v>0.0</v>
      </c>
      <c r="F404" s="2" t="inlineStr">
        <is>
          <t>5060063228389</t>
        </is>
      </c>
      <c r="G404" s="4" t="inlineStr">
        <is>
          <t xml:space="preserve"> • materiál: odolný ABS plast 
 • typy prevádzok: 5 druhov 
 • svietivosť: max. 1500 lm 
 •  
 • N/A: áno 
 • N/A: áno 
 • ochrana proti vode: IPX4 
 • napájanie: Li-ion akumulátor, 2200 mAh (je príslušenstvom) alebo 2 x CR123A batéria (nie je príslušenstvom) 
 • ďalšie informácie: Flex-Power technológia 
 • rozmery: (svietidlo) 12,7 x 5,1 x 7,6 cm</t>
        </is>
      </c>
    </row>
    <row r="405">
      <c r="A405" s="3" t="inlineStr">
        <is>
          <t>NEB-HLP-0006-G</t>
        </is>
      </c>
      <c r="B405" s="2" t="inlineStr">
        <is>
          <t>NEBO EINSTEIN™ 500, čelovka</t>
        </is>
      </c>
      <c r="C405" s="1" t="n">
        <v>31.99</v>
      </c>
      <c r="D405" s="7" t="n">
        <f>HYPERLINK("https://www.somogyi.sk/product/nebo-einstein-500-celovka-neb-hlp-0006-g-17404","https://www.somogyi.sk/product/nebo-einstein-500-celovka-neb-hlp-0006-g-17404")</f>
        <v>0.0</v>
      </c>
      <c r="E405" s="7" t="n">
        <f>HYPERLINK("https://www.somogyi.sk/productimages/product_main_images/small/17404.jpg","https://www.somogyi.sk/productimages/product_main_images/small/17404.jpg")</f>
        <v>0.0</v>
      </c>
      <c r="F405" s="2" t="inlineStr">
        <is>
          <t>5060063228358</t>
        </is>
      </c>
      <c r="G405" s="4" t="inlineStr">
        <is>
          <t xml:space="preserve"> • materiál: ABS a hliník 
 • typy prevádzok: 5 druhov 
 • svietivosť: max. 500 lm 
 •  
 • ochrana proti vode: IPX4 
 • napájanie: 3 x AAA batéria (je prísl.) 
 • rozmery: (svietidlo) 10,2 x 3,9 x 3,9 cm</t>
        </is>
      </c>
    </row>
    <row r="406">
      <c r="A406" s="3" t="inlineStr">
        <is>
          <t>NEB-HLP-0005-G</t>
        </is>
      </c>
      <c r="B406" s="2" t="inlineStr">
        <is>
          <t>NEBO EINSTEIN™ 400, čelovka</t>
        </is>
      </c>
      <c r="C406" s="1" t="n">
        <v>30.99</v>
      </c>
      <c r="D406" s="7" t="n">
        <f>HYPERLINK("https://www.somogyi.sk/product/nebo-einstein-400-celovka-neb-hlp-0005-g-17405","https://www.somogyi.sk/product/nebo-einstein-400-celovka-neb-hlp-0005-g-17405")</f>
        <v>0.0</v>
      </c>
      <c r="E406" s="7" t="n">
        <f>HYPERLINK("https://www.somogyi.sk/productimages/product_main_images/small/17405.jpg","https://www.somogyi.sk/productimages/product_main_images/small/17405.jpg")</f>
        <v>0.0</v>
      </c>
      <c r="F406" s="2" t="inlineStr">
        <is>
          <t>5060063228341</t>
        </is>
      </c>
      <c r="G406" s="4" t="inlineStr">
        <is>
          <t xml:space="preserve"> • materiál: ABS a hliník 
 • typy prevádzok: 5 druhov 
 • svietivosť: max. 400 lm 
 •  
 • ochrana proti vode: IPX4 
 • napájanie: zabudovaný Li-Po akumulátor 300 mAh 
 • rozmery: (svietidlo) 5,7 x 3,2 x 3,2 cm</t>
        </is>
      </c>
    </row>
    <row r="407">
      <c r="A407" s="3" t="inlineStr">
        <is>
          <t>NEB-HLP-0004-G</t>
        </is>
      </c>
      <c r="B407" s="2" t="inlineStr">
        <is>
          <t>NEBO EINSTEIN™ CAP, čelovka</t>
        </is>
      </c>
      <c r="C407" s="1" t="n">
        <v>12.99</v>
      </c>
      <c r="D407" s="7" t="n">
        <f>HYPERLINK("https://www.somogyi.sk/product/nebo-einstein-cap-celovka-neb-hlp-0004-g-17406","https://www.somogyi.sk/product/nebo-einstein-cap-celovka-neb-hlp-0004-g-17406")</f>
        <v>0.0</v>
      </c>
      <c r="E407" s="7" t="n">
        <f>HYPERLINK("https://www.somogyi.sk/productimages/product_main_images/small/17406.jpg","https://www.somogyi.sk/productimages/product_main_images/small/17406.jpg")</f>
        <v>0.0</v>
      </c>
      <c r="F407" s="2" t="inlineStr">
        <is>
          <t>5060063228334</t>
        </is>
      </c>
      <c r="G407" s="4" t="inlineStr">
        <is>
          <t xml:space="preserve"> • materiál: odolný ABS plast 
 • typy prevádzok: 3 druhy 
 • svietivosť: max. 50 lm 
 •  
 • bezdotyková technológia: áno 
 • ochrana proti vode: IPX5 
 • napájanie: zabudovaný Li-Po akumulátor 500 mAh 
 • rozmery: 6 x 5 x 2,8 cm</t>
        </is>
      </c>
    </row>
    <row r="408">
      <c r="A408" s="3" t="inlineStr">
        <is>
          <t>NEB-LTN-0004-G</t>
        </is>
      </c>
      <c r="B408" s="2" t="inlineStr">
        <is>
          <t>NEBO GALILEO™ 1000</t>
        </is>
      </c>
      <c r="C408" s="1" t="n">
        <v>73.99</v>
      </c>
      <c r="D408" s="7" t="n">
        <f>HYPERLINK("https://www.somogyi.sk/product/nebo-galileo-1000-neb-ltn-0004-g-17407","https://www.somogyi.sk/product/nebo-galileo-1000-neb-ltn-0004-g-17407")</f>
        <v>0.0</v>
      </c>
      <c r="E408" s="7" t="n">
        <f>HYPERLINK("https://www.somogyi.sk/productimages/product_main_images/small/17407.jpg","https://www.somogyi.sk/productimages/product_main_images/small/17407.jpg")</f>
        <v>0.0</v>
      </c>
      <c r="F408" s="2" t="inlineStr">
        <is>
          <t>5060063228402</t>
        </is>
      </c>
      <c r="G408" s="4" t="inlineStr">
        <is>
          <t xml:space="preserve"> • materiál: odolný ABS plast 
 • typy prevádzok: 5 druhov 
 • svietivosť: max.1000 lm 
 •  
 • N/A: áno 
 • ochrana proti vode: vodotesný a odolný voči prachu  (IPX4) 
 • napájanie: Li-ion akumulátor 2600 mAh (je príslušenstvom) alebo 6 x D batéria (nie je príslušenstvom) 
 • rozmery: 26 x 13,5 x 13,5 cm</t>
        </is>
      </c>
    </row>
    <row r="409">
      <c r="A409" s="3" t="inlineStr">
        <is>
          <t>NEB-6737-G</t>
        </is>
      </c>
      <c r="B409" s="2" t="inlineStr">
        <is>
          <t>NEBO BIG LARRY 2</t>
        </is>
      </c>
      <c r="C409" s="1" t="n">
        <v>18.99</v>
      </c>
      <c r="D409" s="7" t="n">
        <f>HYPERLINK("https://www.somogyi.sk/product/nebo-big-larry-2-neb-6737-g-17409","https://www.somogyi.sk/product/nebo-big-larry-2-neb-6737-g-17409")</f>
        <v>0.0</v>
      </c>
      <c r="E409" s="7" t="n">
        <f>HYPERLINK("https://www.somogyi.sk/productimages/product_main_images/small/17409.jpg","https://www.somogyi.sk/productimages/product_main_images/small/17409.jpg")</f>
        <v>0.0</v>
      </c>
      <c r="F409" s="2" t="inlineStr">
        <is>
          <t>5060063228563</t>
        </is>
      </c>
      <c r="G409" s="4" t="inlineStr">
        <is>
          <t xml:space="preserve"> • materiál: eloxovaný hliník leteckej kvality 
 • typy prevádzok: 4 druhy 
 • svietivosť: max. 500 lm 
 •  
 • N/A: áno 
 • magnetický podstavec: áno 
 • ochrana proti vode: vodotesný a odolný voči nárazom 
 • napájanie: 3 x AA batéria (je prísl.) 
 • ďalšie informácie: oceľový štipec na opasok 
 • rozmery: 19,7 x 2,5 x 3,2 cm</t>
        </is>
      </c>
    </row>
    <row r="410">
      <c r="A410" s="3" t="inlineStr">
        <is>
          <t>NEB-6700-G</t>
        </is>
      </c>
      <c r="B410" s="2" t="inlineStr">
        <is>
          <t>NEBO 450 FLEX</t>
        </is>
      </c>
      <c r="C410" s="1" t="n">
        <v>25.99</v>
      </c>
      <c r="D410" s="7" t="n">
        <f>HYPERLINK("https://www.somogyi.sk/product/nebo-450-flex-neb-6700-g-17410","https://www.somogyi.sk/product/nebo-450-flex-neb-6700-g-17410")</f>
        <v>0.0</v>
      </c>
      <c r="E410" s="7" t="n">
        <f>HYPERLINK("https://www.somogyi.sk/productimages/product_main_images/small/17410.jpg","https://www.somogyi.sk/productimages/product_main_images/small/17410.jpg")</f>
        <v>0.0</v>
      </c>
      <c r="F410" s="2" t="inlineStr">
        <is>
          <t>5060063228778</t>
        </is>
      </c>
      <c r="G410" s="4" t="inlineStr">
        <is>
          <t xml:space="preserve"> • materiál: eloxovaný hliník leteckej kvality 
 • typy prevádzok: 4 druhy 
 • svietivosť: max.450 lm 
 • prevádzkový čas: 600 mAh nabíjateľný akumulátor: vysoký jas (250 lumenov) - 2,5 hodiny / nízky jas (80 lumenov) - 5,5 hodiny / režim blikania (250 lumenov) - 2 hodiny / turbo (450 lumenov) - 40 sekúnd // AA batéria: vysoký jas (90 lúmenov) - 2,5 hodiny / nízky jas (30 lúmenov) - 4,5 hodiny / režim blikania (90 lúmenov) - 4 hodiny 
 • N/A: 600 mAh nabíjateľný akumulátor: vysoký jas (250 lumenov) - 160 metrov / nízky jas (80 lumenov) - 89 metrov / režim blikania (250 lumenov) - 160 metrov / turbo (450 lumenov) - 273 metrov // AA batéria: vysoký jas (90 lumenov) - 102 metrov / nízky jas (30 lumenov) - 57 metrov / režim blikania (90 lumenov) - 102 metrov 
 • N/A: x6 
 • magnetický podstavec: áno 
 • ochrana proti vode: vodotesné a odolné voči nárazom 
 • zobrazenie nízkeho napätia: áno 
 • napájanie: 1 x Lithium-ion 14500 nabíjateľný akumulátor (je príslušenstvom) alebo 1 x AA batéria (nie je príslušenstvom) 
 • rozmery: (v zasunutom stave) 10,7 x Ø2,9 cm</t>
        </is>
      </c>
    </row>
    <row r="411">
      <c r="A411" s="3" t="inlineStr">
        <is>
          <t>NEB-6809-G</t>
        </is>
      </c>
      <c r="B411" s="2" t="inlineStr">
        <is>
          <t>NEBO TINO</t>
        </is>
      </c>
      <c r="C411" s="1" t="n">
        <v>15.49</v>
      </c>
      <c r="D411" s="7" t="n">
        <f>HYPERLINK("https://www.somogyi.sk/product/nebo-tino-neb-6809-g-17411","https://www.somogyi.sk/product/nebo-tino-neb-6809-g-17411")</f>
        <v>0.0</v>
      </c>
      <c r="E411" s="7" t="n">
        <f>HYPERLINK("https://www.somogyi.sk/productimages/product_main_images/small/17411.jpg","https://www.somogyi.sk/productimages/product_main_images/small/17411.jpg")</f>
        <v>0.0</v>
      </c>
      <c r="F411" s="2" t="inlineStr">
        <is>
          <t>5060063228570</t>
        </is>
      </c>
      <c r="G411" s="4" t="inlineStr">
        <is>
          <t xml:space="preserve"> • materiál: plastový 
 • typy prevádzok: 2 druhy 
 • svietivosť: 300 lm 
 •  
 • magnetický podstavec: áno 
 • ochrana proti vode: vodotesný a odolný voči nárazom 
 • napájanie: 3 x AAA batéria (je prísl.) 
 • rozmery: 11 x 4,5 x 4 cm</t>
        </is>
      </c>
    </row>
    <row r="412">
      <c r="A412" s="3" t="inlineStr">
        <is>
          <t>NEB-FLT-1018-G</t>
        </is>
      </c>
      <c r="B412" s="2" t="inlineStr">
        <is>
          <t>NEBO Master Series FL750</t>
        </is>
      </c>
      <c r="C412" s="1" t="n">
        <v>62.99</v>
      </c>
      <c r="D412" s="7" t="n">
        <f>HYPERLINK("https://www.somogyi.sk/product/nebo-master-series-fl750-neb-flt-1018-g-18041","https://www.somogyi.sk/product/nebo-master-series-fl750-neb-flt-1018-g-18041")</f>
        <v>0.0</v>
      </c>
      <c r="E412" s="7" t="n">
        <f>HYPERLINK("https://www.somogyi.sk/productimages/product_main_images/small/18041.jpg","https://www.somogyi.sk/productimages/product_main_images/small/18041.jpg")</f>
        <v>0.0</v>
      </c>
      <c r="F412" s="2" t="inlineStr">
        <is>
          <t>5060945230035</t>
        </is>
      </c>
      <c r="G412" s="4" t="inlineStr">
        <is>
          <t xml:space="preserve"> • materiál: eloxovaný hliník leteckej kvality 
 • typy prevádzok: 5 druhov 
 •  
 • N/A: x2 
 • N/A: áno 
 • magnetický podstavec: áno 
 • ochrana proti vode: IP67 
 •  
 • rozmery: 13,5 x 3,5 x 3,5 cm</t>
        </is>
      </c>
    </row>
    <row r="413">
      <c r="A413" s="3" t="inlineStr">
        <is>
          <t>NEB-OTH-0001-G</t>
        </is>
      </c>
      <c r="B413" s="2" t="inlineStr">
        <is>
          <t>NEBO HIGH BRIGHT 6000</t>
        </is>
      </c>
      <c r="C413" s="1" t="n">
        <v>33.99</v>
      </c>
      <c r="D413" s="7" t="n">
        <f>HYPERLINK("https://www.somogyi.sk/product/nebo-high-bright-6000-neb-oth-0001-g-17434","https://www.somogyi.sk/product/nebo-high-bright-6000-neb-oth-0001-g-17434")</f>
        <v>0.0</v>
      </c>
      <c r="E413" s="7" t="n">
        <f>HYPERLINK("https://www.somogyi.sk/productimages/product_main_images/small/17434.jpg","https://www.somogyi.sk/productimages/product_main_images/small/17434.jpg")</f>
        <v>0.0</v>
      </c>
      <c r="F413" s="2" t="inlineStr">
        <is>
          <t>5060063228617</t>
        </is>
      </c>
      <c r="G413" s="4" t="inlineStr">
        <is>
          <t xml:space="preserve"> • svietivosť: 6000 lm 
 • ďalšie informácie: 90 stupňov nastaviteľné LED panely • rýchla a jednoduchá inštalácia • energetická úspornosť – iba 60 W • o 600 % viac svetla ako priemerných 60 W 
 • rozmery: (so zloženými panelmi): 11,6 x 13 x 12,7 cm</t>
        </is>
      </c>
    </row>
    <row r="414">
      <c r="A414" s="3" t="inlineStr">
        <is>
          <t>NEB-LTN-1008-G</t>
        </is>
      </c>
      <c r="B414" s="2" t="inlineStr">
        <is>
          <t>NEB-LTN-1008-G</t>
        </is>
      </c>
      <c r="C414" s="1" t="n">
        <v>35.99</v>
      </c>
      <c r="D414" s="7" t="n">
        <f>HYPERLINK("https://www.somogyi.sk/product/neb-ltn-1008-g-neb-ltn-1008-g-18559","https://www.somogyi.sk/product/neb-ltn-1008-g-neb-ltn-1008-g-18559")</f>
        <v>0.0</v>
      </c>
      <c r="E414" s="7" t="n">
        <f>HYPERLINK("https://www.somogyi.sk/productimages/product_main_images/small/18559.jpg","https://www.somogyi.sk/productimages/product_main_images/small/18559.jpg")</f>
        <v>0.0</v>
      </c>
      <c r="F414" s="2" t="inlineStr">
        <is>
          <t>5060945231575</t>
        </is>
      </c>
      <c r="G414" s="4" t="inlineStr">
        <is>
          <t xml:space="preserve"> • flexibilné, skladacie svietidlo 
 • kompaktné a ľahké 
 • odolný ABS plast 
 • prachotesné 
 • vodotesné (IPX4) 
 • červené svetlo 
 • inteligentná regulácia výkonu 
 • napájanie: 3 x AA batéria, nie je príslušenstvom 
 • režimy: 
 • vysoká svietivosť (500 lm): 3 h / 14 m 
 • stredná svietivosť (250 lm): 6 h / 10 m 
 • nízka svietivosť (50 lm): 15 h / 4 m 
 • blikanie (500 lm): 3 h / 10 m 
 • červené svetlo (20 lm): 5 h / 5 m 
 • červené blikanie (20 lm): 5 h / 5 m</t>
        </is>
      </c>
    </row>
    <row r="415">
      <c r="A415" s="3" t="inlineStr">
        <is>
          <t>NE6665</t>
        </is>
      </c>
      <c r="B415" s="2" t="inlineStr">
        <is>
          <t>NEBO TANGO</t>
        </is>
      </c>
      <c r="C415" s="1" t="n">
        <v>36.99</v>
      </c>
      <c r="D415" s="7" t="n">
        <f>HYPERLINK("https://www.somogyi.sk/product/nebo-tango-ne6665-18688","https://www.somogyi.sk/product/nebo-tango-ne6665-18688")</f>
        <v>0.0</v>
      </c>
      <c r="E415" s="7" t="n">
        <f>HYPERLINK("https://www.somogyi.sk/productimages/product_main_images/small/18688.jpg","https://www.somogyi.sk/productimages/product_main_images/small/18688.jpg")</f>
        <v>0.0</v>
      </c>
      <c r="F415" s="2" t="inlineStr">
        <is>
          <t>5060063225708</t>
        </is>
      </c>
      <c r="G415" s="4" t="inlineStr">
        <is>
          <t xml:space="preserve"> • 2 veľké vysokovýkonné zdroje svetla: 250 lm spot svietidlo a 750 lm COB montážne svietidlo 
 • nabíjateľné 
 • Power bank funkcia (USB) 
 • protišmykový gumený kryt 
 • vodotesné a odolné voči nárazom 
 • nastaviteľná svietivosť 
 • pamäť svietivosti 
 • podstavec otočný o 180° 
 • rozmery: 14,9 x 14,9 x 4,44 cm 
 • hmotnosť: 317,5 g 
 • príslušenstvo: 
 • MicroUSB - USB kábel 
 • AC adaptér 
 • režimy: 
 • montážne svietidlo (750 lm) - 2 h / 45 m  
 • spot svietidlo (250 lm) - 5 h / 135 m  
 • turbo (1000 lm) - 2 minúty</t>
        </is>
      </c>
    </row>
    <row r="416">
      <c r="A416" s="3" t="inlineStr">
        <is>
          <t>NEB-FLT-1009-G</t>
        </is>
      </c>
      <c r="B416" s="2" t="inlineStr">
        <is>
          <t>NEBO Master Series FL3000</t>
        </is>
      </c>
      <c r="C416" s="1" t="n">
        <v>89.99</v>
      </c>
      <c r="D416" s="7" t="n">
        <f>HYPERLINK("https://www.somogyi.sk/product/nebo-master-series-fl3000-neb-flt-1009-g-18043","https://www.somogyi.sk/product/nebo-master-series-fl3000-neb-flt-1009-g-18043")</f>
        <v>0.0</v>
      </c>
      <c r="E416" s="7" t="n">
        <f>HYPERLINK("https://www.somogyi.sk/productimages/product_main_images/small/18043.jpg","https://www.somogyi.sk/productimages/product_main_images/small/18043.jpg")</f>
        <v>0.0</v>
      </c>
      <c r="F416" s="2" t="inlineStr">
        <is>
          <t>5060945230059</t>
        </is>
      </c>
      <c r="G416" s="4" t="inlineStr">
        <is>
          <t xml:space="preserve"> • materiál: eloxovaný hliník leteckej kvality 
 • typy prevádzok: 5 druhov 
 •  
 • N/A: x3 
 • N/A: áno 
 • magnetický podstavec: áno 
 • ochrana proti vode: IP67 
 •  
 • rozmery: 17,7 x 4,45 x 13 cm</t>
        </is>
      </c>
    </row>
    <row r="417">
      <c r="A417" s="6" t="inlineStr">
        <is>
          <t xml:space="preserve">   Osvetlenie / Svietidlo na šiltovku, čelovka</t>
        </is>
      </c>
      <c r="B417" s="6" t="inlineStr">
        <is>
          <t/>
        </is>
      </c>
      <c r="C417" s="6" t="inlineStr">
        <is>
          <t/>
        </is>
      </c>
      <c r="D417" s="6" t="inlineStr">
        <is>
          <t/>
        </is>
      </c>
      <c r="E417" s="6" t="inlineStr">
        <is>
          <t/>
        </is>
      </c>
      <c r="F417" s="6" t="inlineStr">
        <is>
          <t/>
        </is>
      </c>
      <c r="G417" s="6" t="inlineStr">
        <is>
          <t/>
        </is>
      </c>
    </row>
    <row r="418">
      <c r="A418" s="3" t="inlineStr">
        <is>
          <t>HLM 4</t>
        </is>
      </c>
      <c r="B418" s="2" t="inlineStr">
        <is>
          <t>LED čelovka, zoom</t>
        </is>
      </c>
      <c r="C418" s="1" t="n">
        <v>15.99</v>
      </c>
      <c r="D418" s="7" t="n">
        <f>HYPERLINK("https://www.somogyi.sk/product/led-celovka-zoom-hlm-4-16169","https://www.somogyi.sk/product/led-celovka-zoom-hlm-4-16169")</f>
        <v>0.0</v>
      </c>
      <c r="E418" s="7" t="n">
        <f>HYPERLINK("https://www.somogyi.sk/productimages/product_main_images/small/16169.jpg","https://www.somogyi.sk/productimages/product_main_images/small/16169.jpg")</f>
        <v>0.0</v>
      </c>
      <c r="F418" s="2" t="inlineStr">
        <is>
          <t>5999084942014</t>
        </is>
      </c>
      <c r="G418" s="4" t="inlineStr">
        <is>
          <t xml:space="preserve"> • materiál: kovová / plastová 
 • zdroj svetla: LED 
 • počet zdrojov svetla: 1 ks 
 • farba zdrojov svetla: biela 
 • charakteristiky: nastaviteľný uhol skonu 
 • funkcie: 2 svietivosti, blikanie 
 • napájanie: 4 x 1,5 V (AA) batéria, nie je príslušenstvom</t>
        </is>
      </c>
    </row>
    <row r="419">
      <c r="A419" s="3" t="inlineStr">
        <is>
          <t>HLM 5R</t>
        </is>
      </c>
      <c r="B419" s="2" t="inlineStr">
        <is>
          <t>Nabíjateľná LED čelovka, zoom</t>
        </is>
      </c>
      <c r="C419" s="1" t="n">
        <v>18.49</v>
      </c>
      <c r="D419" s="7" t="n">
        <f>HYPERLINK("https://www.somogyi.sk/product/nabijatelna-led-celovka-zoom-hlm-5r-16170","https://www.somogyi.sk/product/nabijatelna-led-celovka-zoom-hlm-5r-16170")</f>
        <v>0.0</v>
      </c>
      <c r="E419" s="7" t="n">
        <f>HYPERLINK("https://www.somogyi.sk/productimages/product_main_images/small/16170.jpg","https://www.somogyi.sk/productimages/product_main_images/small/16170.jpg")</f>
        <v>0.0</v>
      </c>
      <c r="F419" s="2" t="inlineStr">
        <is>
          <t>5999084942021</t>
        </is>
      </c>
      <c r="G419" s="4" t="inlineStr">
        <is>
          <t xml:space="preserve"> • materiál: kovová 
 • zdroj svetla: LED 
 • počet zdrojov svetla: 1 ks 
 • farba zdrojov svetla: biela 
 • charakteristiky: nastaviteľný sklon / zaostrovateľný / čas nabíjania cca. 4 h / prevádzkový čas cca. 9 h 
 • funkcie: 2 druhy svietivosti / blikanie 
 • napájanie: 2 x 18650 Li-ion akku / 1200 mAh / 3,7 V</t>
        </is>
      </c>
    </row>
    <row r="420">
      <c r="A420" s="3" t="inlineStr">
        <is>
          <t>HLP 7RP</t>
        </is>
      </c>
      <c r="B420" s="2" t="inlineStr">
        <is>
          <t>Nabíjateľná LED čelovka, PIR, 100 lm</t>
        </is>
      </c>
      <c r="C420" s="1" t="n">
        <v>14.49</v>
      </c>
      <c r="D420" s="7" t="n">
        <f>HYPERLINK("https://www.somogyi.sk/product/nabijatelna-led-celovka-pir-100-lm-hlp-7rp-16159","https://www.somogyi.sk/product/nabijatelna-led-celovka-pir-100-lm-hlp-7rp-16159")</f>
        <v>0.0</v>
      </c>
      <c r="E420" s="7" t="n">
        <f>HYPERLINK("https://www.somogyi.sk/productimages/product_main_images/small/16159.jpg","https://www.somogyi.sk/productimages/product_main_images/small/16159.jpg")</f>
        <v>0.0</v>
      </c>
      <c r="F420" s="2" t="inlineStr">
        <is>
          <t>5999084941918</t>
        </is>
      </c>
      <c r="G420" s="4" t="inlineStr">
        <is>
          <t xml:space="preserve"> • materiál: plast 
 • zdroj svetla: LED 
 • počet zdrojov svetla: 3 ks 
 • farba zdrojov svetla: biela, červená 
 • charakteristiky: možnosť zapnúť PIR senzor pohybu / nastaviteľný sklon / 100 lm biele svetlo / nabíjateľný pomocou micro USB kábla / nabíjací čas cca. 2,5 h / prevádzkový čas cca. 4 h 
 • funkcie: biela: 2 stupne svietivosti, blikanie / červená: priebežné svetlo, blikanie 
 • napájanie: 3,7 V / 1200 mAh akumulátor 
 • rozmery: 60 x 45 x 36 mm</t>
        </is>
      </c>
    </row>
    <row r="421">
      <c r="A421" s="3" t="inlineStr">
        <is>
          <t>PLF 19</t>
        </is>
      </c>
      <c r="B421" s="2" t="inlineStr">
        <is>
          <t>LED čelovka</t>
        </is>
      </c>
      <c r="C421" s="1" t="n">
        <v>6.99</v>
      </c>
      <c r="D421" s="7" t="n">
        <f>HYPERLINK("https://www.somogyi.sk/product/led-celovka-plf-19-8348","https://www.somogyi.sk/product/led-celovka-plf-19-8348")</f>
        <v>0.0</v>
      </c>
      <c r="E421" s="7" t="n">
        <f>HYPERLINK("https://www.somogyi.sk/productimages/product_main_images/small/08348.jpg","https://www.somogyi.sk/productimages/product_main_images/small/08348.jpg")</f>
        <v>0.0</v>
      </c>
      <c r="F421" s="2" t="inlineStr">
        <is>
          <t>5998312772560</t>
        </is>
      </c>
      <c r="G421" s="4" t="inlineStr">
        <is>
          <t xml:space="preserve"> • materiál: plast 
 • zdroj svetla: LED 
 • počet zdrojov svetla: 19 ks 
 • farba zdrojov svetla: biela 
 • charakteristiky: nastaviteľný uhol sklonu: 135° 
 • funkcie: svieti 1 LED / 7 LED / 19 LED / bliká 19 LED 
 • napájanie: 3 x AAA (nie je príslušenstvom) 
 • hmotnosť: 0,13 kg</t>
        </is>
      </c>
    </row>
    <row r="422">
      <c r="A422" s="3" t="inlineStr">
        <is>
          <t>HLP 4</t>
        </is>
      </c>
      <c r="B422" s="2" t="inlineStr">
        <is>
          <t>Čelovka</t>
        </is>
      </c>
      <c r="C422" s="1" t="n">
        <v>7.49</v>
      </c>
      <c r="D422" s="7" t="n">
        <f>HYPERLINK("https://www.somogyi.sk/product/celovka-hlp-4-15236","https://www.somogyi.sk/product/celovka-hlp-4-15236")</f>
        <v>0.0</v>
      </c>
      <c r="E422" s="7" t="n">
        <f>HYPERLINK("https://www.somogyi.sk/productimages/product_main_images/small/15236.jpg","https://www.somogyi.sk/productimages/product_main_images/small/15236.jpg")</f>
        <v>0.0</v>
      </c>
      <c r="F422" s="2" t="inlineStr">
        <is>
          <t>5999084932701</t>
        </is>
      </c>
      <c r="G422" s="4" t="inlineStr">
        <is>
          <t xml:space="preserve"> • materiál: plast 
 • zdroj svetla: LED 
 • počet zdrojov svetla: 3 W COB LED 
 • farba zdrojov svetla: studená biela 
 • charakteristiky: nastaviteľný uhol sklonu 
 • funkcie: nastaviteľná svietivosť (50 % / 100 %) 
 • napájanie: 3 x AAA  batéria (nie je príslušenstvom) 
 • rozmery: 6 x 6 x 4 cm</t>
        </is>
      </c>
    </row>
    <row r="423">
      <c r="A423" s="6" t="inlineStr">
        <is>
          <t xml:space="preserve">   Osvetlenie / Svietidlo na bicykel</t>
        </is>
      </c>
      <c r="B423" s="6" t="inlineStr">
        <is>
          <t/>
        </is>
      </c>
      <c r="C423" s="6" t="inlineStr">
        <is>
          <t/>
        </is>
      </c>
      <c r="D423" s="6" t="inlineStr">
        <is>
          <t/>
        </is>
      </c>
      <c r="E423" s="6" t="inlineStr">
        <is>
          <t/>
        </is>
      </c>
      <c r="F423" s="6" t="inlineStr">
        <is>
          <t/>
        </is>
      </c>
      <c r="G423" s="6" t="inlineStr">
        <is>
          <t/>
        </is>
      </c>
    </row>
    <row r="424">
      <c r="A424" s="3" t="inlineStr">
        <is>
          <t>BV 10</t>
        </is>
      </c>
      <c r="B424" s="2" t="inlineStr">
        <is>
          <t>Súprava svietidiel na bicykel,LED</t>
        </is>
      </c>
      <c r="C424" s="1" t="n">
        <v>3.69</v>
      </c>
      <c r="D424" s="7" t="n">
        <f>HYPERLINK("https://www.somogyi.sk/product/suprava-svietidiel-na-bicykel-led-bv-10-11999","https://www.somogyi.sk/product/suprava-svietidiel-na-bicykel-led-bv-10-11999")</f>
        <v>0.0</v>
      </c>
      <c r="E424" s="7" t="n">
        <f>HYPERLINK("https://www.somogyi.sk/productimages/product_main_images/small/11999.jpg","https://www.somogyi.sk/productimages/product_main_images/small/11999.jpg")</f>
        <v>0.0</v>
      </c>
      <c r="F424" s="2" t="inlineStr">
        <is>
          <t>5999084902117</t>
        </is>
      </c>
      <c r="G424" s="4" t="inlineStr">
        <is>
          <t xml:space="preserve"> • materiál: pružný silikón 
 • zdroj svetla: LED 
 • počet zdrojov svetla: 2 + 2 ks 
 • farba zdrojov svetla: biela / červená 
 • funkcie: krátke / rýchle blikanie / stále svetlo 
 • napájanie: v jednej lampe: 2 x CR 2032 (je príslušenstvom) 
 • hmotnosť: 0,08 kg</t>
        </is>
      </c>
    </row>
    <row r="425">
      <c r="A425" s="6" t="inlineStr">
        <is>
          <t xml:space="preserve">   Osvetlenie / Montážne svietidlo</t>
        </is>
      </c>
      <c r="B425" s="6" t="inlineStr">
        <is>
          <t/>
        </is>
      </c>
      <c r="C425" s="6" t="inlineStr">
        <is>
          <t/>
        </is>
      </c>
      <c r="D425" s="6" t="inlineStr">
        <is>
          <t/>
        </is>
      </c>
      <c r="E425" s="6" t="inlineStr">
        <is>
          <t/>
        </is>
      </c>
      <c r="F425" s="6" t="inlineStr">
        <is>
          <t/>
        </is>
      </c>
      <c r="G425" s="6" t="inlineStr">
        <is>
          <t/>
        </is>
      </c>
    </row>
    <row r="426">
      <c r="A426" s="3" t="inlineStr">
        <is>
          <t>WL 3W+7L</t>
        </is>
      </c>
      <c r="B426" s="2" t="inlineStr">
        <is>
          <t xml:space="preserve">LED montážne svietidlo, nabíjateľné, magnetické </t>
        </is>
      </c>
      <c r="C426" s="1" t="n">
        <v>35.99</v>
      </c>
      <c r="D426" s="7" t="n">
        <f>HYPERLINK("https://www.somogyi.sk/product/led-montazne-svietidlo-nabijatelne-magneticke-wl-3w-7l-13952","https://www.somogyi.sk/product/led-montazne-svietidlo-nabijatelne-magneticke-wl-3w-7l-13952")</f>
        <v>0.0</v>
      </c>
      <c r="E426" s="7" t="n">
        <f>HYPERLINK("https://www.somogyi.sk/productimages/product_main_images/small/13952.jpg","https://www.somogyi.sk/productimages/product_main_images/small/13952.jpg")</f>
        <v>0.0</v>
      </c>
      <c r="F426" s="2" t="inlineStr">
        <is>
          <t>5999084920043</t>
        </is>
      </c>
      <c r="G426" s="4" t="inlineStr">
        <is>
          <t xml:space="preserve"> • materiál: plast 
 • zdroj svetla: COB LED, LED 
 • počet zdrojov svetla: 1 (3 W) + 7 ks 
 • prichytenie: háčik / magnety 
 • charakteristiky: nastaviteľná hlava svietidla (180°), nabíjateľné: sieťový adaptér / 12 V autonabíjačka 
 • funkcie: 30 % / 100 % COB LED, 7 LED 
 • napájanie: Li-Ion akumulátor 3,6 V / 1600 mAh 
 • príslušenstvo: sieťový adaptér, nabíjačka do autozapaľovača 
 • hmotnosť: Svetelné zdroje LED vo svietidle sa nedajú vymeniť! 
 • ďalšie informácie: Svetelné zdroje LED vo svietidle sa nedajú vymeniť!</t>
        </is>
      </c>
    </row>
    <row r="427">
      <c r="A427" s="3" t="inlineStr">
        <is>
          <t>PL 20</t>
        </is>
      </c>
      <c r="B427" s="2" t="inlineStr">
        <is>
          <t>Montážne svietidlo IP44</t>
        </is>
      </c>
      <c r="C427" s="1" t="n">
        <v>20.99</v>
      </c>
      <c r="D427" s="7" t="n">
        <f>HYPERLINK("https://www.somogyi.sk/product/montazne-svietidlo-ip44-pl-20-7758","https://www.somogyi.sk/product/montazne-svietidlo-ip44-pl-20-7758")</f>
        <v>0.0</v>
      </c>
      <c r="E427" s="7" t="n">
        <f>HYPERLINK("https://www.somogyi.sk/productimages/product_main_images/small/07758.jpg","https://www.somogyi.sk/productimages/product_main_images/small/07758.jpg")</f>
        <v>0.0</v>
      </c>
      <c r="F427" s="2" t="inlineStr">
        <is>
          <t>5998312767207</t>
        </is>
      </c>
      <c r="G427" s="4" t="inlineStr">
        <is>
          <t xml:space="preserve"> • materiál: guma / sklo / kov 
 • zdroj svetla: - 
 • počet zdrojov svetla: 1 ks zdroj svetla max.: 60 W / E27 (nie je príslušenstvom) 
 • prichytenie: háčik 
 • charakteristiky: porcelánová objímka 
 • energetická trieda: A++, A+, A, B, C, D, E 
 • dĺžka napájacieho kábla: 5 m (guma) 
 • napájanie: 230 V~ / 50 Hz 
 • hmotnosť: Svetelné zdroje LED vo svietidle sa nedajú vymeniť!</t>
        </is>
      </c>
    </row>
    <row r="428">
      <c r="A428" s="6" t="inlineStr">
        <is>
          <t xml:space="preserve">   Osvetlenie / Svietidlo s lupou</t>
        </is>
      </c>
      <c r="B428" s="6" t="inlineStr">
        <is>
          <t/>
        </is>
      </c>
      <c r="C428" s="6" t="inlineStr">
        <is>
          <t/>
        </is>
      </c>
      <c r="D428" s="6" t="inlineStr">
        <is>
          <t/>
        </is>
      </c>
      <c r="E428" s="6" t="inlineStr">
        <is>
          <t/>
        </is>
      </c>
      <c r="F428" s="6" t="inlineStr">
        <is>
          <t/>
        </is>
      </c>
      <c r="G428" s="6" t="inlineStr">
        <is>
          <t/>
        </is>
      </c>
    </row>
    <row r="429">
      <c r="A429" s="3" t="inlineStr">
        <is>
          <t>NKLL 06</t>
        </is>
      </c>
      <c r="B429" s="2" t="inlineStr">
        <is>
          <t>LED stolné svietidlo s lupou</t>
        </is>
      </c>
      <c r="C429" s="1" t="n">
        <v>50.99</v>
      </c>
      <c r="D429" s="7" t="n">
        <f>HYPERLINK("https://www.somogyi.sk/product/led-stolne-svietidlo-s-lupou-nkll-06-15366","https://www.somogyi.sk/product/led-stolne-svietidlo-s-lupou-nkll-06-15366")</f>
        <v>0.0</v>
      </c>
      <c r="E429" s="7" t="n">
        <f>HYPERLINK("https://www.somogyi.sk/productimages/product_main_images/small/15366.jpg","https://www.somogyi.sk/productimages/product_main_images/small/15366.jpg")</f>
        <v>0.0</v>
      </c>
      <c r="F429" s="2" t="inlineStr">
        <is>
          <t>5999084934002</t>
        </is>
      </c>
      <c r="G429" s="4" t="inlineStr">
        <is>
          <t xml:space="preserve"> • možnosť umiestnenia na stôl: áno 
 • zdroj svetla: LED 
 • počet zdrojov svetla: 30 ks 
 • výkon: 6 W 
 • svietivosť: 400 lm 
 • teplota farby: 6500 K 
 • rozmery šošovky: Ø90 mm 
 • zväčšenie: 3 dioptrie / 12 dioptrií 
 • energetická trieda: A+ 
 • dĺžka napájacieho kábla: 1,45 m 
 • napájanie: 230 V~ / 50 Hz 
 • rozmery: 140 x 350 x 240 mm 
 • hmotnosť: 0,85 kg 
 • ďalšie informácie: Svetelné zdroje LED vo svietidle sa nedajú vymeniť!</t>
        </is>
      </c>
    </row>
    <row r="430">
      <c r="A430" s="3" t="inlineStr">
        <is>
          <t>NKL 022F</t>
        </is>
      </c>
      <c r="B430" s="2" t="inlineStr">
        <is>
          <t>Náhradná žiarivka k NKL 22</t>
        </is>
      </c>
      <c r="C430" s="1" t="n">
        <v>7.79</v>
      </c>
      <c r="D430" s="7" t="n">
        <f>HYPERLINK("https://www.somogyi.sk/product/nahradna-ziarivka-k-nkl-22-nkl-022f-8476","https://www.somogyi.sk/product/nahradna-ziarivka-k-nkl-22-nkl-022f-8476")</f>
        <v>0.0</v>
      </c>
      <c r="E430" s="7" t="n">
        <f>HYPERLINK("https://www.somogyi.sk/productimages/product_main_images/small/08476.jpg","https://www.somogyi.sk/productimages/product_main_images/small/08476.jpg")</f>
        <v>0.0</v>
      </c>
      <c r="F430" s="2" t="inlineStr">
        <is>
          <t>5998312773758</t>
        </is>
      </c>
      <c r="G430" s="4" t="inlineStr">
        <is>
          <t xml:space="preserve"> • výkon: 12 W 
 • svietivosť: 720 lm 
 • teplota farby: 6400 K 
 • energetická trieda: B 
 • napájanie: 230 V~ / 50 Hz 
 • rozmery: Ø122 mm / T4</t>
        </is>
      </c>
    </row>
    <row r="431">
      <c r="A431" s="3" t="inlineStr">
        <is>
          <t>NKL 01</t>
        </is>
      </c>
      <c r="B431" s="2" t="inlineStr">
        <is>
          <t>Lampa s lupou, montáž na stôl, 3 dioptrií</t>
        </is>
      </c>
      <c r="C431" s="1" t="n">
        <v>69.99</v>
      </c>
      <c r="D431" s="7" t="n">
        <f>HYPERLINK("https://www.somogyi.sk/product/lampa-s-lupou-montaz-na-stol-3-dioptrii-nkl-01-5664","https://www.somogyi.sk/product/lampa-s-lupou-montaz-na-stol-3-dioptrii-nkl-01-5664")</f>
        <v>0.0</v>
      </c>
      <c r="E431" s="7" t="n">
        <f>HYPERLINK("https://www.somogyi.sk/productimages/product_main_images/small/05664.jpg","https://www.somogyi.sk/productimages/product_main_images/small/05664.jpg")</f>
        <v>0.0</v>
      </c>
      <c r="F431" s="2" t="inlineStr">
        <is>
          <t>5998312750025</t>
        </is>
      </c>
      <c r="G431" s="4" t="inlineStr">
        <is>
          <t xml:space="preserve"> • montáž na stôl: áno 
 • možnosť umiestnenia na stôl: nie 
 • zdroj svetla: kruhová žiarivka 
 • počet zdrojov svetla: 1 ks 
 • výkon: 22 W 
 • svietivosť: 1250 lm 
 • teplota farby: 6400 K 
 • rozmery šošovky: Ø125 mm 
 • zväčšenie: 3 dioptrie 
 • energetická trieda: B 
 • dĺžka napájacieho kábla: 1,6 m 
 • napájanie: 230 V~ / 50 Hz 
 • rozmery hlavy: 26 x 20 x 3 cm 
 • výška: 42 + 40 cm 
 • náhradná šošovka (opcia): 5 dioptrií (NKL 5D) 
 • príslušenstvo: držiaci zverák 
 • hmotnosť: 4,5 kg 
 • ďalšie informácie: náhradná žiarivka: NKLF T5</t>
        </is>
      </c>
    </row>
    <row r="432">
      <c r="A432" s="3" t="inlineStr">
        <is>
          <t>NKLF</t>
        </is>
      </c>
      <c r="B432" s="2" t="inlineStr">
        <is>
          <t>Náhradná žiarivka k NKL 03</t>
        </is>
      </c>
      <c r="C432" s="1" t="n">
        <v>8.09</v>
      </c>
      <c r="D432" s="7" t="n">
        <f>HYPERLINK("https://www.somogyi.sk/product/nahradna-ziarivka-k-nkl-03-nklf-5665","https://www.somogyi.sk/product/nahradna-ziarivka-k-nkl-03-nklf-5665")</f>
        <v>0.0</v>
      </c>
      <c r="E432" s="7" t="n">
        <f>HYPERLINK("https://www.somogyi.sk/productimages/product_main_images/small/05665.jpg","https://www.somogyi.sk/productimages/product_main_images/small/05665.jpg")</f>
        <v>0.0</v>
      </c>
      <c r="F432" s="2" t="inlineStr">
        <is>
          <t>5998312750032</t>
        </is>
      </c>
      <c r="G432" s="4" t="inlineStr">
        <is>
          <t xml:space="preserve"> • výkon: 22 W 
 • svietivosť: 1050 lm 
 • teplota farby: 6400 K 
 • energetická trieda: B 
 • napájanie: 230 V~ / 50 Hz 
 • rozmery: Ø205 mm / T8</t>
        </is>
      </c>
    </row>
    <row r="433">
      <c r="A433" s="3" t="inlineStr">
        <is>
          <t>NKLL 05</t>
        </is>
      </c>
      <c r="B433" s="2" t="inlineStr">
        <is>
          <t>LED lampa s lupou, montáž na stôl, 3 dioptrie</t>
        </is>
      </c>
      <c r="C433" s="1" t="n">
        <v>80.99</v>
      </c>
      <c r="D433" s="7" t="n">
        <f>HYPERLINK("https://www.somogyi.sk/product/led-lampa-s-lupou-montaz-na-stol-3-dioptrie-nkll-05-9787","https://www.somogyi.sk/product/led-lampa-s-lupou-montaz-na-stol-3-dioptrie-nkll-05-9787")</f>
        <v>0.0</v>
      </c>
      <c r="E433" s="7" t="n">
        <f>HYPERLINK("https://www.somogyi.sk/productimages/product_main_images/small/09787.jpg","https://www.somogyi.sk/productimages/product_main_images/small/09787.jpg")</f>
        <v>0.0</v>
      </c>
      <c r="F433" s="2" t="inlineStr">
        <is>
          <t>5998312785157</t>
        </is>
      </c>
      <c r="G433" s="4" t="inlineStr">
        <is>
          <t xml:space="preserve"> • montáž na stôl: áno 
 • možnosť umiestnenia na stôl: nie 
 • zdroj svetla: LED 
 • počet zdrojov svetla: 56 ks 
 • výkon: 9 W 
 • svietivosť: 700 lm 
 • teplota farby: 6000 K 
 • rozmery šošovky: Ø125 mm 
 • zväčšenie: 3 dioptrie 
 • energetická trieda: A+ 
 • dĺžka napájacieho kábla: 1,5 m 
 • napájanie: 230 V~ / 50 Hz 
 • rozmery hlavy: 200 x 40 x 260 mm 
 • výška: 2 x 410 mm 
 • náhradná šošovka (opcia): 5 dioptrií (NKL 5D) 
 • príslušenstvo: držiaci zverák 
 • hmotnosť: 2,5 kg 
 • ďalšie informácie: Zdroje svetla LED vo svietidle sa nedajú vymeniť! Svietidlo nie je vhodné na zvýrazňujúce osvetlenie!</t>
        </is>
      </c>
    </row>
    <row r="434">
      <c r="A434" s="3" t="inlineStr">
        <is>
          <t>NKL 022</t>
        </is>
      </c>
      <c r="B434" s="2" t="inlineStr">
        <is>
          <t>Lampa s lupou, montáž na stôl, 12 dioptrií</t>
        </is>
      </c>
      <c r="C434" s="1" t="n">
        <v>38.99</v>
      </c>
      <c r="D434" s="7" t="n">
        <f>HYPERLINK("https://www.somogyi.sk/product/lampa-s-lupou-montaz-na-stol-12-dioptrii-nkl-022-8475","https://www.somogyi.sk/product/lampa-s-lupou-montaz-na-stol-12-dioptrii-nkl-022-8475")</f>
        <v>0.0</v>
      </c>
      <c r="E434" s="7" t="n">
        <f>HYPERLINK("https://www.somogyi.sk/productimages/product_main_images/small/08475.jpg","https://www.somogyi.sk/productimages/product_main_images/small/08475.jpg")</f>
        <v>0.0</v>
      </c>
      <c r="F434" s="2" t="inlineStr">
        <is>
          <t>5998312773741</t>
        </is>
      </c>
      <c r="G434" s="4" t="inlineStr">
        <is>
          <t xml:space="preserve"> • montáž na stôl: nie 
 • možnosť umiestnenia na stôl: áno 
 • zdroj svetla: kruhová žiarivka 
 • počet zdrojov svetla: 1 ks 
 • výkon: 12 W 
 • svietivosť: 450 lm 
 • teplota farby: 6400 K 
 • rozmery šošovky: Ø90 mm 
 • zväčšenie: 3 dioptrie / 12 dioptrií 
 • energetická trieda: B 
 • dĺžka napájacieho kábla: 1,5 m 
 • napájanie: 230 V~ / 50 Hz 
 • hmotnosť: 1,2 kg 
 • ďalšie informácie: náhradná žiarivka: NKL 022F</t>
        </is>
      </c>
    </row>
    <row r="435">
      <c r="A435" s="3" t="inlineStr">
        <is>
          <t>NKLF T5</t>
        </is>
      </c>
      <c r="B435" s="2" t="inlineStr">
        <is>
          <t>Náhradná žiarivka k NKL 01</t>
        </is>
      </c>
      <c r="C435" s="1" t="n">
        <v>8.09</v>
      </c>
      <c r="D435" s="7" t="n">
        <f>HYPERLINK("https://www.somogyi.sk/product/nahradna-ziarivka-k-nkl-01-nklf-t5-8702","https://www.somogyi.sk/product/nahradna-ziarivka-k-nkl-01-nklf-t5-8702")</f>
        <v>0.0</v>
      </c>
      <c r="E435" s="7" t="n">
        <f>HYPERLINK("https://www.somogyi.sk/productimages/product_main_images/small/08702.jpg","https://www.somogyi.sk/productimages/product_main_images/small/08702.jpg")</f>
        <v>0.0</v>
      </c>
      <c r="F435" s="2" t="inlineStr">
        <is>
          <t>5998312775882</t>
        </is>
      </c>
      <c r="G435" s="4" t="inlineStr">
        <is>
          <t xml:space="preserve"> • montáž na stôl: nie 
 • výkon: 22 W 
 • svietivosť: 1250 lm 
 • teplota farby: 6400 K 
 • energetická trieda: B 
 • napájanie: 230 V~ / 50 Hz 
 • rozmery: Ø184 mm / T5</t>
        </is>
      </c>
    </row>
    <row r="436">
      <c r="A436" s="3" t="inlineStr">
        <is>
          <t>NKL 5D</t>
        </is>
      </c>
      <c r="B436" s="2" t="inlineStr">
        <is>
          <t>Náhradná šošovka, 5 dioptrií</t>
        </is>
      </c>
      <c r="C436" s="1" t="n">
        <v>9.59</v>
      </c>
      <c r="D436" s="7" t="n">
        <f>HYPERLINK("https://www.somogyi.sk/product/nahradna-sosovka-5-dioptrii-nkl-5d-5667","https://www.somogyi.sk/product/nahradna-sosovka-5-dioptrii-nkl-5d-5667")</f>
        <v>0.0</v>
      </c>
      <c r="E436" s="7" t="n">
        <f>HYPERLINK("https://www.somogyi.sk/productimages/product_main_images/small/05667.jpg","https://www.somogyi.sk/productimages/product_main_images/small/05667.jpg")</f>
        <v>0.0</v>
      </c>
      <c r="F436" s="2" t="inlineStr">
        <is>
          <t>5998312750056</t>
        </is>
      </c>
      <c r="G436" s="4" t="inlineStr">
        <is>
          <t xml:space="preserve"> • montáž na stôl: nie 
 • možnosť umiestnenia na stôl: nie 
 • rozmery šošovky: Ø125 mm 
 • zväčšenie: 5 dioptrií 
 • hmotnosť: 0,4 kg</t>
        </is>
      </c>
    </row>
    <row r="437">
      <c r="A437" s="6" t="inlineStr">
        <is>
          <t xml:space="preserve">   Osvetlenie / Reflektor, senzor pohybu</t>
        </is>
      </c>
      <c r="B437" s="6" t="inlineStr">
        <is>
          <t/>
        </is>
      </c>
      <c r="C437" s="6" t="inlineStr">
        <is>
          <t/>
        </is>
      </c>
      <c r="D437" s="6" t="inlineStr">
        <is>
          <t/>
        </is>
      </c>
      <c r="E437" s="6" t="inlineStr">
        <is>
          <t/>
        </is>
      </c>
      <c r="F437" s="6" t="inlineStr">
        <is>
          <t/>
        </is>
      </c>
      <c r="G437" s="6" t="inlineStr">
        <is>
          <t/>
        </is>
      </c>
    </row>
    <row r="438">
      <c r="A438" s="3" t="inlineStr">
        <is>
          <t>FLB 10</t>
        </is>
      </c>
      <c r="B438" s="2" t="inlineStr">
        <is>
          <t>Nabíjateľný LED reflektor</t>
        </is>
      </c>
      <c r="C438" s="1" t="n">
        <v>25.99</v>
      </c>
      <c r="D438" s="7" t="n">
        <f>HYPERLINK("https://www.somogyi.sk/product/nabijatelny-led-reflektor-flb-10-17123","https://www.somogyi.sk/product/nabijatelny-led-reflektor-flb-10-17123")</f>
        <v>0.0</v>
      </c>
      <c r="E438" s="7" t="n">
        <f>HYPERLINK("https://www.somogyi.sk/productimages/product_main_images/small/17123.jpg","https://www.somogyi.sk/productimages/product_main_images/small/17123.jpg")</f>
        <v>0.0</v>
      </c>
      <c r="F438" s="2" t="inlineStr">
        <is>
          <t>5999084951559</t>
        </is>
      </c>
      <c r="G438" s="4" t="inlineStr">
        <is>
          <t xml:space="preserve"> • prenosný: áno 
 • zdroj svetla: COB LED 
 • počet zdrojov svetla: 1 ks 
 • výkon: 10 W 
 • svietivosť: 800 lm 
 • IP stupeň ochrany: IP54 
 • napájanie: zabudovaný akumulátor 
 • rozmery: 14,5 x 16 x 26 cm 
 • hmotnosť: 740 g 
 • farba: čierna / žltá 
 • teplota farby: 5000 K 
 • kapacita akumulátora: 2200 mAh 
 • prevádzkový čas: max. 4 h</t>
        </is>
      </c>
    </row>
    <row r="439">
      <c r="A439" s="3" t="inlineStr">
        <is>
          <t>0687H</t>
        </is>
      </c>
      <c r="B439" s="2" t="inlineStr">
        <is>
          <t>Pohybový senzor, PIR, IP44</t>
        </is>
      </c>
      <c r="C439" s="1" t="n">
        <v>9.79</v>
      </c>
      <c r="D439" s="7" t="n">
        <f>HYPERLINK("https://www.somogyi.sk/product/pohybovy-senzor-pir-ip44-0687h-9802","https://www.somogyi.sk/product/pohybovy-senzor-pir-ip44-0687h-9802")</f>
        <v>0.0</v>
      </c>
      <c r="E439" s="7" t="n">
        <f>HYPERLINK("https://www.somogyi.sk/productimages/product_main_images/small/09802.jpg","https://www.somogyi.sk/productimages/product_main_images/small/09802.jpg")</f>
        <v>0.0</v>
      </c>
      <c r="F439" s="2" t="inlineStr">
        <is>
          <t>5998312785287</t>
        </is>
      </c>
      <c r="G439" s="4" t="inlineStr">
        <is>
          <t xml:space="preserve"> • farba: čierna 
 • umiestnenie na stenu: áno 
 • prenosný: nie 
 • zapnuteľný výkon: max. 1000 W 
 • uhol snímania: 180° 
 • nastaviteľný čas svietenia: 10 sek. - 4 min. 
 • nastaviteľný fotosenzor: áno 
 • nastaviteľná dosah: fix 12 m 
 • IP stupeň ochrany: IP44 
 • napájanie: 230 V~ / 50 Hz 
 • rozmery reflektora: - 
 • príslušenstvo: -</t>
        </is>
      </c>
    </row>
    <row r="440">
      <c r="A440" s="3" t="inlineStr">
        <is>
          <t>PIR 04/WH</t>
        </is>
      </c>
      <c r="B440" s="2" t="inlineStr">
        <is>
          <t>Pohybový senzor nástenný, IP44, biely</t>
        </is>
      </c>
      <c r="C440" s="1" t="n">
        <v>9.79</v>
      </c>
      <c r="D440" s="7" t="n">
        <f>HYPERLINK("https://www.somogyi.sk/product/pohybovy-senzor-nastenny-ip44-biely-pir-04-wh-9700","https://www.somogyi.sk/product/pohybovy-senzor-nastenny-ip44-biely-pir-04-wh-9700")</f>
        <v>0.0</v>
      </c>
      <c r="E440" s="7" t="n">
        <f>HYPERLINK("https://www.somogyi.sk/productimages/product_main_images/small/09700.jpg","https://www.somogyi.sk/productimages/product_main_images/small/09700.jpg")</f>
        <v>0.0</v>
      </c>
      <c r="F440" s="2" t="inlineStr">
        <is>
          <t>5998312784358</t>
        </is>
      </c>
      <c r="G440" s="4" t="inlineStr">
        <is>
          <t xml:space="preserve"> • farba: biela 
 • umiestnenie na stenu: áno 
 • prenosný: nie 
 • zapnuteľný výkon: max. 1200 W 
 • uhol snímania: 180° 
 • nastaviteľný čas svietenia: 10 sek. - 7 min. 
 • nastaviteľný fotosenzor: 3 - 2000 lux 
 • nastaviteľná dosah: fix 12 m 
 • IP stupeň ochrany: IP44 
 • napájanie: 230 V~ / 50 Hz 
 • rozmery reflektora: - 
 • rozmery: 8,5 x 8,5 x 9 cm 
 • príslušenstvo: - 
 • hmotnosť: 0,3 kg</t>
        </is>
      </c>
    </row>
    <row r="441">
      <c r="A441" s="6" t="inlineStr">
        <is>
          <t xml:space="preserve">   Osvetlenie / Stropné svietidlo, nástenné svietidlo</t>
        </is>
      </c>
      <c r="B441" s="6" t="inlineStr">
        <is>
          <t/>
        </is>
      </c>
      <c r="C441" s="6" t="inlineStr">
        <is>
          <t/>
        </is>
      </c>
      <c r="D441" s="6" t="inlineStr">
        <is>
          <t/>
        </is>
      </c>
      <c r="E441" s="6" t="inlineStr">
        <is>
          <t/>
        </is>
      </c>
      <c r="F441" s="6" t="inlineStr">
        <is>
          <t/>
        </is>
      </c>
      <c r="G441" s="6" t="inlineStr">
        <is>
          <t/>
        </is>
      </c>
    </row>
    <row r="442">
      <c r="A442" s="3" t="inlineStr">
        <is>
          <t>RCC 210/WH</t>
        </is>
      </c>
      <c r="B442" s="2" t="inlineStr">
        <is>
          <t>Stropné svietidlo UFO, E14, max.13 W</t>
        </is>
      </c>
      <c r="C442" s="1" t="n">
        <v>4.29</v>
      </c>
      <c r="D442" s="7" t="n">
        <f>HYPERLINK("https://www.somogyi.sk/product/stropne-svietidlo-ufo-e14-max-13-w-rcc-210-wh-17303","https://www.somogyi.sk/product/stropne-svietidlo-ufo-e14-max-13-w-rcc-210-wh-17303")</f>
        <v>0.0</v>
      </c>
      <c r="E442" s="7" t="n">
        <f>HYPERLINK("https://www.somogyi.sk/productimages/product_main_images/small/17303.jpg","https://www.somogyi.sk/productimages/product_main_images/small/17303.jpg")</f>
        <v>0.0</v>
      </c>
      <c r="F442" s="2" t="inlineStr">
        <is>
          <t>5999084953256</t>
        </is>
      </c>
      <c r="G442" s="4" t="inlineStr">
        <is>
          <t xml:space="preserve"> • farba: biela 
 • počet zdrojov svetla: 1 ks 
 • maximálna zaťažiteľnosť: max.13W 
 • objímka: E14/max. 13 W 
 • napájanie: 230 V~ / 50 Hz 
 • rozmery: ∅21 cm x 7,5 cm 
 • ks / balenie: 1 
 • ďalšie informácie: zdroj svetla nie je príslušenstvom</t>
        </is>
      </c>
    </row>
    <row r="443">
      <c r="A443" s="3" t="inlineStr">
        <is>
          <t>LMF 36/4500H</t>
        </is>
      </c>
      <c r="B443" s="2" t="inlineStr">
        <is>
          <t>LED svietidlo do kazetového stropu</t>
        </is>
      </c>
      <c r="C443" s="1" t="n">
        <v>39.99</v>
      </c>
      <c r="D443" s="7" t="n">
        <f>HYPERLINK("https://www.somogyi.sk/product/led-svietidlo-do-kazetoveho-stropu-lmf-36-4500h-17769","https://www.somogyi.sk/product/led-svietidlo-do-kazetoveho-stropu-lmf-36-4500h-17769")</f>
        <v>0.0</v>
      </c>
      <c r="E443" s="7" t="n">
        <f>HYPERLINK("https://www.somogyi.sk/productimages/product_main_images/small/17769.jpg","https://www.somogyi.sk/productimages/product_main_images/small/17769.jpg")</f>
        <v>0.0</v>
      </c>
      <c r="F443" s="2" t="inlineStr">
        <is>
          <t>5999084957919</t>
        </is>
      </c>
      <c r="G443" s="4" t="inlineStr">
        <is>
          <t xml:space="preserve"> • materiál tela svietidla: hliník 
 • zdroj svetla: LED 
 • svietivosť: 4500 lm 
 • výkon: 36 W 
 • energetická trieda: E 
 • príslušenstvo: LED driver je príslušenstvom</t>
        </is>
      </c>
    </row>
    <row r="444">
      <c r="A444" s="3" t="inlineStr">
        <is>
          <t>RCC 18 LED/WH</t>
        </is>
      </c>
      <c r="B444" s="2" t="inlineStr">
        <is>
          <t>LED nástenné/stropné svietidlo, biela, 18 W, 4000K</t>
        </is>
      </c>
      <c r="C444" s="1" t="n">
        <v>6.39</v>
      </c>
      <c r="D444" s="7" t="n">
        <f>HYPERLINK("https://www.somogyi.sk/product/led-nastenne-stropne-svietidlo-biela-18-w-4000k-rcc-18-led-wh-18205","https://www.somogyi.sk/product/led-nastenne-stropne-svietidlo-biela-18-w-4000k-rcc-18-led-wh-18205")</f>
        <v>0.0</v>
      </c>
      <c r="E444" s="7" t="n">
        <f>HYPERLINK("https://www.somogyi.sk/productimages/product_main_images/small/18205.jpg","https://www.somogyi.sk/productimages/product_main_images/small/18205.jpg")</f>
        <v>0.0</v>
      </c>
      <c r="F444" s="2" t="inlineStr">
        <is>
          <t>5999084962272</t>
        </is>
      </c>
      <c r="G444" s="4" t="inlineStr">
        <is>
          <t xml:space="preserve"> • farba: biela farba 
 • materiál krytu: plast 
 • zdroj svetla: LED 
 • svietivosť: 2000 lm 
 • teplota farby: 4000 K 
 • výkon: 18 W 
 • IP stupeň ochrany: IP65 
 • napájanie: 220-240 V~ / 50-60 Hz 
 • rozmery: 165,8 x 160 x 58 mm 
 • ďalšie informácie: LED svetelné zdroje vo svietidle sa nedajú vymeniť</t>
        </is>
      </c>
    </row>
    <row r="445">
      <c r="A445" s="3" t="inlineStr">
        <is>
          <t>RCC 18 LED/BK</t>
        </is>
      </c>
      <c r="B445" s="2" t="inlineStr">
        <is>
          <t>LED nástenné/stropné svietidlo, čierna, 18 W, 4000K</t>
        </is>
      </c>
      <c r="C445" s="1" t="n">
        <v>6.39</v>
      </c>
      <c r="D445" s="7" t="n">
        <f>HYPERLINK("https://www.somogyi.sk/product/led-nastenne-stropne-svietidlo-cierna-18-w-4000k-rcc-18-led-bk-18204","https://www.somogyi.sk/product/led-nastenne-stropne-svietidlo-cierna-18-w-4000k-rcc-18-led-bk-18204")</f>
        <v>0.0</v>
      </c>
      <c r="E445" s="7" t="n">
        <f>HYPERLINK("https://www.somogyi.sk/productimages/product_main_images/small/18204.jpg","https://www.somogyi.sk/productimages/product_main_images/small/18204.jpg")</f>
        <v>0.0</v>
      </c>
      <c r="F445" s="2" t="inlineStr">
        <is>
          <t>5999084962265</t>
        </is>
      </c>
      <c r="G445" s="4" t="inlineStr">
        <is>
          <t xml:space="preserve"> • farba: čierna farba 
 • materiál krytu: plast 
 • zdroj svetla: LED 
 • svietivosť: 2000 lm 
 • teplota farby: 4000 K 
 • výkon: 18 W 
 • IP stupeň ochrany: IP65 
 • napájanie: 220-240 V~ / 50-60 Hz 
 • rozmery: 165,8 x 160 x 58 mm 
 • ďalšie informácie: LED svetelné zdroje vo svietidle sa nedajú vymeniť</t>
        </is>
      </c>
    </row>
    <row r="446">
      <c r="A446" s="3" t="inlineStr">
        <is>
          <t>RCO 18 LED/BK</t>
        </is>
      </c>
      <c r="B446" s="2" t="inlineStr">
        <is>
          <t>LED nástenné/stropné svietidlo, oválna, čierna, 18 W, 4000K</t>
        </is>
      </c>
      <c r="C446" s="1" t="n">
        <v>6.29</v>
      </c>
      <c r="D446" s="7" t="n">
        <f>HYPERLINK("https://www.somogyi.sk/product/led-nastenne-stropne-svietidlo-ovalna-cierna-18-w-4000k-rco-18-led-bk-18202","https://www.somogyi.sk/product/led-nastenne-stropne-svietidlo-ovalna-cierna-18-w-4000k-rco-18-led-bk-18202")</f>
        <v>0.0</v>
      </c>
      <c r="E446" s="7" t="n">
        <f>HYPERLINK("https://www.somogyi.sk/productimages/product_main_images/small/18202.jpg","https://www.somogyi.sk/productimages/product_main_images/small/18202.jpg")</f>
        <v>0.0</v>
      </c>
      <c r="F446" s="2" t="inlineStr">
        <is>
          <t>5999084962241</t>
        </is>
      </c>
      <c r="G446" s="4" t="inlineStr">
        <is>
          <t xml:space="preserve"> • farba: čierna farba 
 • materiál krytu: plast 
 • zdroj svetla: LED 
 • svietivosť: 2000 lm 
 • teplota farby: 4000 K 
 • výkon: 18 W 
 • IP stupeň ochrany: IP65 
 • napájanie: 220-240 V~ / 50-60 Hz 
 • rozmery: 201 x 99 x 54 mm 
 • ďalšie informácie: LED zdroje svetla vo svietidle sa nedajú vymeniť</t>
        </is>
      </c>
    </row>
    <row r="447">
      <c r="A447" s="3" t="inlineStr">
        <is>
          <t>RCO 18 LED/WH</t>
        </is>
      </c>
      <c r="B447" s="2" t="inlineStr">
        <is>
          <t>LED nástenné/stropné svietidlo, oválna, biela, 18 W, 4000K</t>
        </is>
      </c>
      <c r="C447" s="1" t="n">
        <v>6.29</v>
      </c>
      <c r="D447" s="7" t="n">
        <f>HYPERLINK("https://www.somogyi.sk/product/led-nastenne-stropne-svietidlo-ovalna-biela-18-w-4000k-rco-18-led-wh-18203","https://www.somogyi.sk/product/led-nastenne-stropne-svietidlo-ovalna-biela-18-w-4000k-rco-18-led-wh-18203")</f>
        <v>0.0</v>
      </c>
      <c r="E447" s="7" t="n">
        <f>HYPERLINK("https://www.somogyi.sk/productimages/product_main_images/small/18203.jpg","https://www.somogyi.sk/productimages/product_main_images/small/18203.jpg")</f>
        <v>0.0</v>
      </c>
      <c r="F447" s="2" t="inlineStr">
        <is>
          <t>5999084962258</t>
        </is>
      </c>
      <c r="G447" s="4" t="inlineStr">
        <is>
          <t xml:space="preserve"> • farba: biela 
 • materiál krytu: plast 
 • zdroj svetla: LED 
 • svietivosť: 2000 lm 
 • teplota farby: 4000 K 
 • výkon: 18 W 
 • IP stupeň ochrany: IP65 
 • napájanie: 220-240 V~ / 50-60 Hz 
 • rozmery: 201 x 99 x 54 mm 
 • ďalšie informácie: LED zdroje svetla vo svietidle sa nedajú vymeniť</t>
        </is>
      </c>
    </row>
    <row r="448">
      <c r="A448" s="6" t="inlineStr">
        <is>
          <t xml:space="preserve">   Osvetlenie / LED reflektor</t>
        </is>
      </c>
      <c r="B448" s="6" t="inlineStr">
        <is>
          <t/>
        </is>
      </c>
      <c r="C448" s="6" t="inlineStr">
        <is>
          <t/>
        </is>
      </c>
      <c r="D448" s="6" t="inlineStr">
        <is>
          <t/>
        </is>
      </c>
      <c r="E448" s="6" t="inlineStr">
        <is>
          <t/>
        </is>
      </c>
      <c r="F448" s="6" t="inlineStr">
        <is>
          <t/>
        </is>
      </c>
      <c r="G448" s="6" t="inlineStr">
        <is>
          <t/>
        </is>
      </c>
    </row>
    <row r="449">
      <c r="A449" s="3" t="inlineStr">
        <is>
          <t>FLL 50</t>
        </is>
      </c>
      <c r="B449" s="2" t="inlineStr">
        <is>
          <t>LED reflektor, 50W, 4000 lm, IP65</t>
        </is>
      </c>
      <c r="C449" s="1" t="n">
        <v>14.99</v>
      </c>
      <c r="D449" s="7" t="n">
        <f>HYPERLINK("https://www.somogyi.sk/product/led-reflektor-50w-4000-lm-ip65-fll-50-17882","https://www.somogyi.sk/product/led-reflektor-50w-4000-lm-ip65-fll-50-17882")</f>
        <v>0.0</v>
      </c>
      <c r="E449" s="7" t="n">
        <f>HYPERLINK("https://www.somogyi.sk/productimages/product_main_images/small/17882.jpg","https://www.somogyi.sk/productimages/product_main_images/small/17882.jpg")</f>
        <v>0.0</v>
      </c>
      <c r="F449" s="2" t="inlineStr">
        <is>
          <t>5999084959043</t>
        </is>
      </c>
      <c r="G449" s="4" t="inlineStr">
        <is>
          <t xml:space="preserve"> • farba: čierna 
 • výkon: 50 W 
 • umiestnenie na stenu: áno 
 • zdroj svetla: SMD LED 
 • svietivosť: 4000 lm 
 • teplota farby: 4000 K 
 • IP stupeň ochrany: IP65 
 • napájanie: 220-240 V~ /  50-60 Hz 
 • rozmery: 188 x 160 x 115 mm 
 • hmotnosť: 530 g</t>
        </is>
      </c>
    </row>
    <row r="450">
      <c r="A450" s="3" t="inlineStr">
        <is>
          <t>FLP 1SOLAR</t>
        </is>
      </c>
      <c r="B450" s="2" t="inlineStr">
        <is>
          <t>LED reflektor so solárnym panelom so senzorom pohybu</t>
        </is>
      </c>
      <c r="C450" s="1" t="n">
        <v>12.99</v>
      </c>
      <c r="D450" s="7" t="n">
        <f>HYPERLINK("https://www.somogyi.sk/product/led-reflektor-so-solarnym-panelom-so-senzorom-pohybu-flp-1solar-15491","https://www.somogyi.sk/product/led-reflektor-so-solarnym-panelom-so-senzorom-pohybu-flp-1solar-15491")</f>
        <v>0.0</v>
      </c>
      <c r="E450" s="7" t="n">
        <f>HYPERLINK("https://www.somogyi.sk/productimages/product_main_images/small/15491.jpg","https://www.somogyi.sk/productimages/product_main_images/small/15491.jpg")</f>
        <v>0.0</v>
      </c>
      <c r="F450" s="2" t="inlineStr">
        <is>
          <t>5999084935252</t>
        </is>
      </c>
      <c r="G450" s="4" t="inlineStr">
        <is>
          <t xml:space="preserve"> • výkon: 0,8 W 
 • umiestnenie na stenu: áno 
 • zdroj svetla: LED 
 • počet zdrojov svetla: 4 x 2835 SMD 
 • svietivosť: 35 lm 
 • teplota farby: 6000 K 
 • PIR senzor pohybu: uhol snímania: 100°, max. 4 m 
 • IP stupeň ochrany: IP44 
 • napájanie: 3,7 V, lítiová batéria (nevymeniteľná) 
 • kapacita akumulátora: 600 mAh 
 • prevádzkový čas: Svietidlo svietí s 50% intenzitou svetla, v prípade detekcie pohybu svietivosť sa zvýši na 100% cca. na 25 sekúnd. 
 • rozmery: 85 x 115 x 40 mm 
 • hmotnosť: 119 g</t>
        </is>
      </c>
    </row>
    <row r="451">
      <c r="A451" s="3" t="inlineStr">
        <is>
          <t>FLB 20</t>
        </is>
      </c>
      <c r="B451" s="2" t="inlineStr">
        <is>
          <t>Nabíjateľný LED reflektor</t>
        </is>
      </c>
      <c r="C451" s="1" t="n">
        <v>44.99</v>
      </c>
      <c r="D451" s="7" t="n">
        <f>HYPERLINK("https://www.somogyi.sk/product/nabijatelny-led-reflektor-flb-20-17124","https://www.somogyi.sk/product/nabijatelny-led-reflektor-flb-20-17124")</f>
        <v>0.0</v>
      </c>
      <c r="E451" s="7" t="n">
        <f>HYPERLINK("https://www.somogyi.sk/productimages/product_main_images/small/17124.jpg","https://www.somogyi.sk/productimages/product_main_images/small/17124.jpg")</f>
        <v>0.0</v>
      </c>
      <c r="F451" s="2" t="inlineStr">
        <is>
          <t>5999084951566</t>
        </is>
      </c>
      <c r="G451" s="4" t="inlineStr">
        <is>
          <t xml:space="preserve"> • farba: čierna / žltá 
 • výkon: 20 W 
 • prenosný: áno 
 • zdroj svetla: COB LED 
 • počet zdrojov svetla: 1 ks 
 • svietivosť: 1600 lm 
 • teplota farby: 5000 K 
 • IP stupeň ochrany: IP54 
 • napájanie: zabudovaný akumulátor 
 • kapacita akumulátora: 2200 mAh 
 • prevádzkový čas: max. 4 h 
 • rozmery: 21 x 18 x 30 cm 
 • hmotnosť: 1230 g</t>
        </is>
      </c>
    </row>
    <row r="452">
      <c r="A452" s="3" t="inlineStr">
        <is>
          <t>FLP 1100 SOLAR</t>
        </is>
      </c>
      <c r="B452" s="2" t="inlineStr">
        <is>
          <t>LED reflektor so solárnym panelom a senzorom pohybu</t>
        </is>
      </c>
      <c r="C452" s="1" t="n">
        <v>79.99</v>
      </c>
      <c r="D452" s="7" t="n">
        <f>HYPERLINK("https://www.somogyi.sk/product/led-reflektor-so-solarnym-panelom-a-senzorom-pohybu-flp-1100-solar-17128","https://www.somogyi.sk/product/led-reflektor-so-solarnym-panelom-a-senzorom-pohybu-flp-1100-solar-17128")</f>
        <v>0.0</v>
      </c>
      <c r="E452" s="7" t="n">
        <f>HYPERLINK("https://www.somogyi.sk/productimages/product_main_images/small/17128.jpg","https://www.somogyi.sk/productimages/product_main_images/small/17128.jpg")</f>
        <v>0.0</v>
      </c>
      <c r="F452" s="2" t="inlineStr">
        <is>
          <t>5999084951603</t>
        </is>
      </c>
      <c r="G452" s="4" t="inlineStr">
        <is>
          <t xml:space="preserve"> • farba: čierna 
 • výkon: 10 W 
 • umiestnenie na stenu: áno 
 • prenosný: áno 
 • zdroj svetla: LED 
 • počet zdrojov svetla: 55 ks SMD 2835 LED 
 • svietivosť: 1100 lm 
 • teplota farby: 6000 K 
 • IP stupeň ochrany: IP65 
 • napájanie: zabudovaný akumulátor Lithium 18650 
 • kapacita akumulátora: 7200 mAh / 3,7 V 
 •  
 • ďalšie informácie: materiál: ABS, PC, 
 •  obojstranný solárny panel: 6,5 Wp 4,5 Wp monokryštalický silikón, 
 •  USB nabíjacie zásuvky 5 V / 0,5 A, 
 •  voliteľné nepretržité osvetlenie, detekcia pohybu alebo kombinovaná funkcia, 
 •  dĺžka kábla: 2,8 m</t>
        </is>
      </c>
    </row>
    <row r="453">
      <c r="A453" s="3" t="inlineStr">
        <is>
          <t>FLB 20C</t>
        </is>
      </c>
      <c r="B453" s="2" t="inlineStr">
        <is>
          <t>Nabíjateľný COB LED reflektor</t>
        </is>
      </c>
      <c r="C453" s="1" t="n">
        <v>26.99</v>
      </c>
      <c r="D453" s="7" t="n">
        <f>HYPERLINK("https://www.somogyi.sk/product/nabijatelny-cob-led-reflektor-flb-20c-17284","https://www.somogyi.sk/product/nabijatelny-cob-led-reflektor-flb-20c-17284")</f>
        <v>0.0</v>
      </c>
      <c r="E453" s="7" t="n">
        <f>HYPERLINK("https://www.somogyi.sk/productimages/product_main_images/small/17284.jpg","https://www.somogyi.sk/productimages/product_main_images/small/17284.jpg")</f>
        <v>0.0</v>
      </c>
      <c r="F453" s="2" t="inlineStr">
        <is>
          <t>5999084953065</t>
        </is>
      </c>
      <c r="G453" s="4" t="inlineStr">
        <is>
          <t xml:space="preserve"> • farba: čierna / modrá 
 • výkon: max. 20 W 
 • prenosný: áno 
 • zdroj svetla: COB LED 
 • počet zdrojov svetla: 1 ks 
 • svietivosť: max. 1600 lm 
 • teplota farby: 5000 K 
 • IP stupeň ochrany: IP44 
 • napájanie: zabudovaný akumulátor 
 • kapacita akumulátora: 5400 mAh 
 • prevádzkový čas: max. 3,5 h (750 lm) / max. 2 h (1600 lm) 
 • rozmery: rozmery: 17 x 12,5 x 5 cm / 17 x 12 x 9 cm 
 • hmotnosť: 640 g</t>
        </is>
      </c>
    </row>
    <row r="454">
      <c r="A454" s="3" t="inlineStr">
        <is>
          <t>FLP 5 SOLAR</t>
        </is>
      </c>
      <c r="B454" s="2" t="inlineStr">
        <is>
          <t>LED reflektor so solárnym panelom a senzorom pohybu</t>
        </is>
      </c>
      <c r="C454" s="1" t="n">
        <v>39.99</v>
      </c>
      <c r="D454" s="7" t="n">
        <f>HYPERLINK("https://www.somogyi.sk/product/led-reflektor-so-solarnym-panelom-a-senzorom-pohybu-flp-5-solar-16204","https://www.somogyi.sk/product/led-reflektor-so-solarnym-panelom-a-senzorom-pohybu-flp-5-solar-16204")</f>
        <v>0.0</v>
      </c>
      <c r="E454" s="7" t="n">
        <f>HYPERLINK("https://www.somogyi.sk/productimages/product_main_images/small/16204.jpg","https://www.somogyi.sk/productimages/product_main_images/small/16204.jpg")</f>
        <v>0.0</v>
      </c>
      <c r="F454" s="2" t="inlineStr">
        <is>
          <t>5999084942366</t>
        </is>
      </c>
      <c r="G454" s="4" t="inlineStr">
        <is>
          <t xml:space="preserve"> • výkon: 5,5 W 
 • umiestnenie na stenu: áno 
 • zdroj svetla: LED (2835 SMD) 
 • počet zdrojov svetla: 72 ks 
 • svietivosť: 500 lm 
 • teplota farby: 4500 K 
 • PIR senzor pohybu: uhol snímania: 120°, max: 8 m 
 • IP stupeň ochrany: IP44 
 • dĺžka napájacieho kábla: 4,8 m 
 • napájanie: 3,7 V (18650, Li-ion) 
 • kapacita akumulátora: 1500 mAh 
 • prevádzkový čas: nastaviteľný: 10 sek - 2 min 
 • rozmery: solárna batéria: 190 x 200 x 50 mm, reflektor: 200 x 190 x 120 mm 
 • ďalšie informácie: LED zdroj svetla vo svietidle sa nedá vymeniť.</t>
        </is>
      </c>
    </row>
    <row r="455">
      <c r="A455" s="3" t="inlineStr">
        <is>
          <t>FLB 10C</t>
        </is>
      </c>
      <c r="B455" s="2" t="inlineStr">
        <is>
          <t>Nabíjateľný COB LED reflektor</t>
        </is>
      </c>
      <c r="C455" s="1" t="n">
        <v>36.99</v>
      </c>
      <c r="D455" s="7" t="n">
        <f>HYPERLINK("https://www.somogyi.sk/product/nabijatelny-cob-led-reflektor-flb-10c-17283","https://www.somogyi.sk/product/nabijatelny-cob-led-reflektor-flb-10c-17283")</f>
        <v>0.0</v>
      </c>
      <c r="E455" s="7" t="n">
        <f>HYPERLINK("https://www.somogyi.sk/productimages/product_main_images/small/17283.jpg","https://www.somogyi.sk/productimages/product_main_images/small/17283.jpg")</f>
        <v>0.0</v>
      </c>
      <c r="F455" s="2" t="inlineStr">
        <is>
          <t>5999084953058</t>
        </is>
      </c>
      <c r="G455" s="4" t="inlineStr">
        <is>
          <t xml:space="preserve"> • farba: čierna / modrá 
 • výkon: max. 10 W 
 • prenosný: áno 
 • zdroj svetla: COB LED 
 • počet zdrojov svetla: 2 ks 
 • svietivosť: max. 1000 lm 
 • teplota farby: 5000 K 
 • IP stupeň ochrany: IP44 
 • napájanie: zabudovaný akumulátor 
 • kapacita akumulátora: 5000 mAh 
 • prevádzkový čas: max. 4 h (500 lumen); max. 2 h (1000 lumen) 
 • rozmery: rozmery: 25 x 20,5 x 5 cm / 15 x 20,5 x 18 cm 
 • hmotnosť: 570 g</t>
        </is>
      </c>
    </row>
    <row r="456">
      <c r="A456" s="3" t="inlineStr">
        <is>
          <t>FLL H 20</t>
        </is>
      </c>
      <c r="B456" s="2" t="inlineStr">
        <is>
          <t>LED reflektor, prenosný, 20W, 1600 lm, IP44, 1.5m*0.75²</t>
        </is>
      </c>
      <c r="C456" s="1" t="n">
        <v>28.99</v>
      </c>
      <c r="D456" s="7" t="n">
        <f>HYPERLINK("https://www.somogyi.sk/product/led-reflektor-prenosny-20w-1600-lm-ip44-1-5m-0-75-fll-h-20-17888","https://www.somogyi.sk/product/led-reflektor-prenosny-20w-1600-lm-ip44-1-5m-0-75-fll-h-20-17888")</f>
        <v>0.0</v>
      </c>
      <c r="E456" s="7" t="n">
        <f>HYPERLINK("https://www.somogyi.sk/productimages/product_main_images/small/17888.jpg","https://www.somogyi.sk/productimages/product_main_images/small/17888.jpg")</f>
        <v>0.0</v>
      </c>
      <c r="F456" s="2" t="inlineStr">
        <is>
          <t>5999084959104</t>
        </is>
      </c>
      <c r="G456" s="4" t="inlineStr">
        <is>
          <t xml:space="preserve"> • farba: čierna 
 • výkon: 20 W 
 • prenosný: áno 
 • zdroj svetla: LED 
 • svietivosť: 1600 lm 
 • teplota farby: 4000 K 
 • IP stupeň ochrany: IP44 
 • dĺžka napájacieho kábla: 1,5 m 
 • napájanie: 220-240 V~ /  50-60 Hz 
 • hmotnosť: 760 g 
 • ďalšie informácie: nastaviteľný uhol sklonu • sklopný nosný rám • vonkajšie a vnútorné prevedenie • LED zdroj svetla vo svietidle sa nedá  vymeniť • svietidlo nie je vhodné na zvýrazňujúce osvetlenie</t>
        </is>
      </c>
    </row>
    <row r="457">
      <c r="A457" s="3" t="inlineStr">
        <is>
          <t>FLP 1000 SOLAR</t>
        </is>
      </c>
      <c r="B457" s="2" t="inlineStr">
        <is>
          <t>LED reflektor so solárnym panelom a PIR pohybovým senzorom</t>
        </is>
      </c>
      <c r="C457" s="1" t="n">
        <v>71.99</v>
      </c>
      <c r="D457" s="7" t="n">
        <f>HYPERLINK("https://www.somogyi.sk/product/led-reflektor-so-solarnym-panelom-a-pir-pohybovym-senzorom-flp-1000-solar-16709","https://www.somogyi.sk/product/led-reflektor-so-solarnym-panelom-a-pir-pohybovym-senzorom-flp-1000-solar-16709")</f>
        <v>0.0</v>
      </c>
      <c r="E457" s="7" t="n">
        <f>HYPERLINK("https://www.somogyi.sk/productimages/product_main_images/small/16709.jpg","https://www.somogyi.sk/productimages/product_main_images/small/16709.jpg")</f>
        <v>0.0</v>
      </c>
      <c r="F457" s="2" t="inlineStr">
        <is>
          <t>5999084947415</t>
        </is>
      </c>
      <c r="G457" s="4" t="inlineStr">
        <is>
          <t xml:space="preserve"> • farba: čierna farba 
 • výkon: 10 W 
 • umiestnenie na stenu: áno 
 • prenosný: áno 
 • zdroj svetla: SMD 2835 LED 
 • počet zdrojov svetla: 60 ks SMD 2835 LED 
 • svietivosť: 1000 lm 
 • teplota farby: 6000 K 
 • PIR senzor pohybu: PIR senzor pohybu max. 8 m 
 • IP stupeň ochrany: IP65 
 • napájanie: Li-ion akumulátor, 18650 
 • kapacita akumulátora: 7200 mAh 
 • rozmery: 30 x 25 x 3,5 cm</t>
        </is>
      </c>
    </row>
    <row r="458">
      <c r="A458" s="3" t="inlineStr">
        <is>
          <t>FLL PIR 50</t>
        </is>
      </c>
      <c r="B458" s="2" t="inlineStr">
        <is>
          <t>LED reflektor, s pohybovým senzorom 50W, 4000 lm, IP65</t>
        </is>
      </c>
      <c r="C458" s="1" t="n">
        <v>23.99</v>
      </c>
      <c r="D458" s="7" t="n">
        <f>HYPERLINK("https://www.somogyi.sk/product/led-reflektor-s-pohybovym-senzorom-50w-4000-lm-ip65-fll-pir-50-17886","https://www.somogyi.sk/product/led-reflektor-s-pohybovym-senzorom-50w-4000-lm-ip65-fll-pir-50-17886")</f>
        <v>0.0</v>
      </c>
      <c r="E458" s="7" t="n">
        <f>HYPERLINK("https://www.somogyi.sk/productimages/product_main_images/small/17886.jpg","https://www.somogyi.sk/productimages/product_main_images/small/17886.jpg")</f>
        <v>0.0</v>
      </c>
      <c r="F458" s="2" t="inlineStr">
        <is>
          <t>5999084959081</t>
        </is>
      </c>
      <c r="G458" s="4" t="inlineStr">
        <is>
          <t xml:space="preserve"> • možnosť montáže na stenu 
 • na vonkajšie a vnútorné použitie 
 • 50 W, 4000 lm, SMD LED 
 • PIR senzor pohybu: 
 • uhol snímania: 140° vo vejárovitom tvare 
 • regulovateľný dosah snímania: cca. 2-8 m (&lt;24 °C) 
 • prevádzkový čas: 10±5 sek. - 8±2 min., nastaviteľný 
 • citlivosť na svetlo: 3-20.000 LUX, nastaviteľná 
 • napájanie: 220-240 V~, 50/60 Hz 
 • rozmery: 188 x 225 x 115 mm 
 • Svetelný zdroj LED vo svietidle sa nedá vymeniť. 
 • Svietidlo nie je vhodné na zvýrazňujúce osvetlenie.</t>
        </is>
      </c>
    </row>
    <row r="459">
      <c r="A459" s="3" t="inlineStr">
        <is>
          <t>FLL PIR 30</t>
        </is>
      </c>
      <c r="B459" s="2" t="inlineStr">
        <is>
          <t>LED reflektor, s pohybovým senzorom 30W, 2400 lm, IP65</t>
        </is>
      </c>
      <c r="C459" s="1" t="n">
        <v>18.49</v>
      </c>
      <c r="D459" s="7" t="n">
        <f>HYPERLINK("https://www.somogyi.sk/product/led-reflektor-s-pohybovym-senzorom-30w-2400-lm-ip65-fll-pir-30-17885","https://www.somogyi.sk/product/led-reflektor-s-pohybovym-senzorom-30w-2400-lm-ip65-fll-pir-30-17885")</f>
        <v>0.0</v>
      </c>
      <c r="E459" s="7" t="n">
        <f>HYPERLINK("https://www.somogyi.sk/productimages/product_main_images/small/17885.jpg","https://www.somogyi.sk/productimages/product_main_images/small/17885.jpg")</f>
        <v>0.0</v>
      </c>
      <c r="F459" s="2" t="inlineStr">
        <is>
          <t>5999084959074</t>
        </is>
      </c>
      <c r="G459" s="4" t="inlineStr">
        <is>
          <t xml:space="preserve"> • možnosť montáže na stenu 
 • na vonkajšie a vnútorné použitie 
 • 30 W, 2400 lm, SMD LED 
 • PIR senzor pohybu: 
 • uhol snímania: 140° vo vejárovitom tvare 
 • regulovateľný dosah snímania: cca. 2-8 m (&lt;24 °C) 
 • prevádzkový čas: 10±5 sek. - 8±2 min., nastaviteľný 
 • citlivosť na svetlo: 3-20.000 LUX, nastaviteľná 
 • napájanie: 220-240 V~, 50/60 Hz 
 • rozmery: 145 x 210 x 115 mm 
 • Svetelný zdroj LED vo svietidle sa nedá vymeniť. 
 • Svietidlo nie je vhodné na zvýrazňujúce 
 • osvetlenie.</t>
        </is>
      </c>
    </row>
    <row r="460">
      <c r="A460" s="3" t="inlineStr">
        <is>
          <t>FLL PIR 20</t>
        </is>
      </c>
      <c r="B460" s="2" t="inlineStr">
        <is>
          <t>LED reflektor, s pohybovým senzorom, 20W, 1600 lm, IP65</t>
        </is>
      </c>
      <c r="C460" s="1" t="n">
        <v>15.99</v>
      </c>
      <c r="D460" s="7" t="n">
        <f>HYPERLINK("https://www.somogyi.sk/product/led-reflektor-s-pohybovym-senzorom-20w-1600-lm-ip65-fll-pir-20-17884","https://www.somogyi.sk/product/led-reflektor-s-pohybovym-senzorom-20w-1600-lm-ip65-fll-pir-20-17884")</f>
        <v>0.0</v>
      </c>
      <c r="E460" s="7" t="n">
        <f>HYPERLINK("https://www.somogyi.sk/productimages/product_main_images/small/17884.jpg","https://www.somogyi.sk/productimages/product_main_images/small/17884.jpg")</f>
        <v>0.0</v>
      </c>
      <c r="F460" s="2" t="inlineStr">
        <is>
          <t>5999084959067</t>
        </is>
      </c>
      <c r="G460" s="4" t="inlineStr">
        <is>
          <t xml:space="preserve"> • farba: čierna 
 • výkon: 20 W 
 • umiestnenie na stenu: áno 
 • zdroj svetla: SMD LED 
 • svietivosť: 1600 lm 
 • teplota farby: 4000 K 
 • IP stupeň ochrany: IP65 
 • napájanie: 220-240 V~ /  50-60 Hz 
 • prevádzkový čas: 10±5 sekúnd - 8±2 minút, nastaviteľný 
 • rozmery: 122 x 187 x 115 mm 
 • hmotnosť: 300 g</t>
        </is>
      </c>
    </row>
    <row r="461">
      <c r="A461" s="3" t="inlineStr">
        <is>
          <t>FLL 100</t>
        </is>
      </c>
      <c r="B461" s="2" t="inlineStr">
        <is>
          <t>LED reflektor, 100W, 8200 lm, IP65</t>
        </is>
      </c>
      <c r="C461" s="1" t="n">
        <v>31.99</v>
      </c>
      <c r="D461" s="7" t="n">
        <f>HYPERLINK("https://www.somogyi.sk/product/led-reflektor-100w-8200-lm-ip65-fll-100-17883","https://www.somogyi.sk/product/led-reflektor-100w-8200-lm-ip65-fll-100-17883")</f>
        <v>0.0</v>
      </c>
      <c r="E461" s="7" t="n">
        <f>HYPERLINK("https://www.somogyi.sk/productimages/product_main_images/small/17883.jpg","https://www.somogyi.sk/productimages/product_main_images/small/17883.jpg")</f>
        <v>0.0</v>
      </c>
      <c r="F461" s="2" t="inlineStr">
        <is>
          <t>5999084959050</t>
        </is>
      </c>
      <c r="G461" s="4" t="inlineStr">
        <is>
          <t xml:space="preserve"> • farba: čierna 
 • výkon: 100 W 
 • umiestnenie na stenu: áno 
 • zdroj svetla: SMD LED 
 • svietivosť: 8200 lm 
 • teplota farby: 4000 K 
 • IP stupeň ochrany: IP65 
 • napájanie: 220-240 V~ /  50-60 Hz 
 • rozmery: 280 x 225 x 155 mm 
 • hmotnosť: 1030 g</t>
        </is>
      </c>
    </row>
    <row r="462">
      <c r="A462" s="3" t="inlineStr">
        <is>
          <t>FLP 500 SOLAR</t>
        </is>
      </c>
      <c r="B462" s="2" t="inlineStr">
        <is>
          <t>LED reflektor so solárnym panelom a PIR pohybovým senzorom</t>
        </is>
      </c>
      <c r="C462" s="1" t="n">
        <v>31.99</v>
      </c>
      <c r="D462" s="7" t="n">
        <f>HYPERLINK("https://www.somogyi.sk/product/led-reflektor-so-solarnym-panelom-a-pir-pohybovym-senzorom-flp-500-solar-16708","https://www.somogyi.sk/product/led-reflektor-so-solarnym-panelom-a-pir-pohybovym-senzorom-flp-500-solar-16708")</f>
        <v>0.0</v>
      </c>
      <c r="E462" s="7" t="n">
        <f>HYPERLINK("https://www.somogyi.sk/productimages/product_main_images/small/16708.jpg","https://www.somogyi.sk/productimages/product_main_images/small/16708.jpg")</f>
        <v>0.0</v>
      </c>
      <c r="F462" s="2" t="inlineStr">
        <is>
          <t>5999084947408</t>
        </is>
      </c>
      <c r="G462" s="4" t="inlineStr">
        <is>
          <t xml:space="preserve"> • farba: čierna farba 
 • výkon: 5 W 
 • umiestnenie na stenu: áno 
 • prenosný: áno 
 • zdroj svetla: SMD 2835 LED 
 • počet zdrojov svetla: 30 ks 
 • svietivosť: 500 lm 
 • teplota farby: 6000 K 
 • PIR senzor pohybu: PIR senzor pohybu max. 6 m 
 • IP stupeň ochrany: IP65 
 • napájanie: Li-ion akumulátor, 18650 
 • kapacita akumulátora: 3000 mAh 
 • rozmery: 21,8 x 15 x 3,5 cm</t>
        </is>
      </c>
    </row>
    <row r="463">
      <c r="A463" s="3" t="inlineStr">
        <is>
          <t>FLL 30</t>
        </is>
      </c>
      <c r="B463" s="2" t="inlineStr">
        <is>
          <t>LED reflektor, 30W, 2400 lm, IP65</t>
        </is>
      </c>
      <c r="C463" s="1" t="n">
        <v>11.99</v>
      </c>
      <c r="D463" s="7" t="n">
        <f>HYPERLINK("https://www.somogyi.sk/product/led-reflektor-30w-2400-lm-ip65-fll-30-17881","https://www.somogyi.sk/product/led-reflektor-30w-2400-lm-ip65-fll-30-17881")</f>
        <v>0.0</v>
      </c>
      <c r="E463" s="7" t="n">
        <f>HYPERLINK("https://www.somogyi.sk/productimages/product_main_images/small/17881.jpg","https://www.somogyi.sk/productimages/product_main_images/small/17881.jpg")</f>
        <v>0.0</v>
      </c>
      <c r="F463" s="2" t="inlineStr">
        <is>
          <t>5999084959036</t>
        </is>
      </c>
      <c r="G463" s="4" t="inlineStr">
        <is>
          <t xml:space="preserve"> • farba: čierna 
 • výkon: 30 W 
 • umiestnenie na stenu: áno 
 • zdroj svetla: SMD LED 
 • svietivosť: 2400 lm 
 • teplota farby: 4000 K 
 • IP stupeň ochrany: IP65 
 • napájanie: 220-240 V~ /  50-60 Hz 
 • rozmery: 145 x 145 x 90 mm 
 • hmotnosť: 340 g</t>
        </is>
      </c>
    </row>
    <row r="464">
      <c r="A464" s="3" t="inlineStr">
        <is>
          <t>FLL 20</t>
        </is>
      </c>
      <c r="B464" s="2" t="inlineStr">
        <is>
          <t>LED reflektor, 20W, 1600 lm, IP65</t>
        </is>
      </c>
      <c r="C464" s="1" t="n">
        <v>7.99</v>
      </c>
      <c r="D464" s="7" t="n">
        <f>HYPERLINK("https://www.somogyi.sk/product/led-reflektor-20w-1600-lm-ip65-fll-20-17880","https://www.somogyi.sk/product/led-reflektor-20w-1600-lm-ip65-fll-20-17880")</f>
        <v>0.0</v>
      </c>
      <c r="E464" s="7" t="n">
        <f>HYPERLINK("https://www.somogyi.sk/productimages/product_main_images/small/17880.jpg","https://www.somogyi.sk/productimages/product_main_images/small/17880.jpg")</f>
        <v>0.0</v>
      </c>
      <c r="F464" s="2" t="inlineStr">
        <is>
          <t>5999084959029</t>
        </is>
      </c>
      <c r="G464" s="4" t="inlineStr">
        <is>
          <t xml:space="preserve"> • farba: čierna 
 • výkon: 20 W 
 • umiestnenie na stenu: áno 
 • zdroj svetla: SMD LED 
 • svietivosť: 1600 lm 
 • teplota farby: 4000 K 
 • IP stupeň ochrany: IP65 
 • napájanie: 220-240 V~ /  50-60 Hz 
 • rozmery: 122 x 122 x 90 mm 
 • hmotnosť: 265 g</t>
        </is>
      </c>
    </row>
    <row r="465">
      <c r="A465" s="3" t="inlineStr">
        <is>
          <t>FLL 10</t>
        </is>
      </c>
      <c r="B465" s="2" t="inlineStr">
        <is>
          <t>LED reflektor, 10W, 800 lm, IP65</t>
        </is>
      </c>
      <c r="C465" s="1" t="n">
        <v>7.19</v>
      </c>
      <c r="D465" s="7" t="n">
        <f>HYPERLINK("https://www.somogyi.sk/product/led-reflektor-10w-800-lm-ip65-fll-10-17879","https://www.somogyi.sk/product/led-reflektor-10w-800-lm-ip65-fll-10-17879")</f>
        <v>0.0</v>
      </c>
      <c r="E465" s="7" t="n">
        <f>HYPERLINK("https://www.somogyi.sk/productimages/product_main_images/small/17879.jpg","https://www.somogyi.sk/productimages/product_main_images/small/17879.jpg")</f>
        <v>0.0</v>
      </c>
      <c r="F465" s="2" t="inlineStr">
        <is>
          <t>5999084959012</t>
        </is>
      </c>
      <c r="G465" s="4" t="inlineStr">
        <is>
          <t xml:space="preserve"> • farba: čierna 
 • výkon: 10 W 
 • umiestnenie na stenu: áno 
 • zdroj svetla: SMD LED 
 • svietivosť: 800 lm 
 • teplota farby: 4000 K 
 • IP stupeň ochrany: IP65 
 • napájanie: 220-240 V~ /  50-60 Hz 
 • rozmery: 110 x 110 x 90 mm 
 • hmotnosť: 210 g</t>
        </is>
      </c>
    </row>
    <row r="466">
      <c r="A466" s="3" t="inlineStr">
        <is>
          <t>FLP 2/BK SOLAR</t>
        </is>
      </c>
      <c r="B466" s="2" t="inlineStr">
        <is>
          <t>LED reflektor so solárnym panelom, s pohybovým senzorom, čierna</t>
        </is>
      </c>
      <c r="C466" s="1" t="n">
        <v>16.99</v>
      </c>
      <c r="D466" s="7" t="n">
        <f>HYPERLINK("https://www.somogyi.sk/product/led-reflektor-so-solarnym-panelom-s-pohybovym-senzorom-cierna-flp-2-bk-solar-15493","https://www.somogyi.sk/product/led-reflektor-so-solarnym-panelom-s-pohybovym-senzorom-cierna-flp-2-bk-solar-15493")</f>
        <v>0.0</v>
      </c>
      <c r="E466" s="7" t="n">
        <f>HYPERLINK("https://www.somogyi.sk/productimages/product_main_images/small/15493.jpg","https://www.somogyi.sk/productimages/product_main_images/small/15493.jpg")</f>
        <v>0.0</v>
      </c>
      <c r="F466" s="2" t="inlineStr">
        <is>
          <t>5999084935276</t>
        </is>
      </c>
      <c r="G466" s="4" t="inlineStr">
        <is>
          <t xml:space="preserve"> • farba: čierna 
 • výkon: 1,5 W 
 • umiestnenie na stenu: áno 
 • zdroj svetla: LED 
 • počet zdrojov svetla: 10 X 2835 SMD ( 8 ks predných, 2 ks zadných) 
 • svietivosť: 200 lm 
 • teplota farby: vpredu: 6000 K /vzadu: 3000 K 
 • PIR senzor pohybu: uhol snímania: 120°, max. 6 m 
 • napájanie: 3,7 V, lítiová batéria (nevymeniteľná) 
 • kapacita akumulátora: 1200 mAh 
 • prevádzkový čas: Svietidlo svietí s 3% intenzitou svetla (predné aj zadné LED), v prípade detekcie pohybu svietivosť sa zvýši na 100% cca. na 10 sekúnd. 
 • rozmery: 96 x 152 x 84 mm 
 • hmotnosť: 218 g 
 • ďalšie informácie: Možnosť vypnúť. Svetelné zdroje LED vo svietidle sa nedajú vymeniť!</t>
        </is>
      </c>
    </row>
    <row r="467">
      <c r="A467" s="3" t="inlineStr">
        <is>
          <t>FLL H 50</t>
        </is>
      </c>
      <c r="B467" s="2" t="inlineStr">
        <is>
          <t>LED reflektor, prenosný, 50W, 4000 lm, IP44</t>
        </is>
      </c>
      <c r="C467" s="1" t="n">
        <v>38.99</v>
      </c>
      <c r="D467" s="7" t="n">
        <f>HYPERLINK("https://www.somogyi.sk/product/led-reflektor-prenosny-50w-4000-lm-ip44-fll-h-50-17889","https://www.somogyi.sk/product/led-reflektor-prenosny-50w-4000-lm-ip44-fll-h-50-17889")</f>
        <v>0.0</v>
      </c>
      <c r="E467" s="7" t="n">
        <f>HYPERLINK("https://www.somogyi.sk/productimages/product_main_images/small/17889.jpg","https://www.somogyi.sk/productimages/product_main_images/small/17889.jpg")</f>
        <v>0.0</v>
      </c>
      <c r="F467" s="2" t="inlineStr">
        <is>
          <t>5999084959111</t>
        </is>
      </c>
      <c r="G467" s="4" t="inlineStr">
        <is>
          <t xml:space="preserve"> • farba: čierna 
 • výkon: 50 W 
 • prenosný: áno 
 • zdroj svetla: LED 
 • svietivosť: 4000 lm 
 • teplota farby: 4000 K 
 • IP stupeň ochrany: IP44 
 • dĺžka napájacieho kábla: 1,5 m 
 • napájanie: 220-240 V~ /  50-60 Hz 
 • hmotnosť: 1010 g 
 • ďalšie informácie: nastaviteľný uhol sklonu • sklopný nosný rám • vonkajšie a vnútorné prevedenie • LED zdroj svetla vo svietidle sa nedá  vymeniť • svietidlo nie je vhodné na zvýrazňujúce osvetlenie</t>
        </is>
      </c>
    </row>
    <row r="468">
      <c r="A468" s="3" t="inlineStr">
        <is>
          <t>FLL STAND 2/30</t>
        </is>
      </c>
      <c r="B468" s="2" t="inlineStr">
        <is>
          <t>LED reflektor, so stojanom, 2x30W, 4000 lm, IP65</t>
        </is>
      </c>
      <c r="C468" s="1" t="n">
        <v>65.99</v>
      </c>
      <c r="D468" s="7" t="n">
        <f>HYPERLINK("https://www.somogyi.sk/product/led-reflektor-so-stojanom-2x30w-4000-lm-ip65-fll-stand-2-30-17887","https://www.somogyi.sk/product/led-reflektor-so-stojanom-2x30w-4000-lm-ip65-fll-stand-2-30-17887")</f>
        <v>0.0</v>
      </c>
      <c r="E468" s="7" t="n">
        <f>HYPERLINK("https://www.somogyi.sk/productimages/product_main_images/small/17887.jpg","https://www.somogyi.sk/productimages/product_main_images/small/17887.jpg")</f>
        <v>0.0</v>
      </c>
      <c r="F468" s="2" t="inlineStr">
        <is>
          <t>5999084959098</t>
        </is>
      </c>
      <c r="G468" s="4" t="inlineStr">
        <is>
          <t xml:space="preserve"> • farba: žltá / čierna 
 • výkon: 2 x 30 W 
 • prenosný: áno 
 • zdroj svetla: LED (SMD) 
 • počet zdrojov svetla: 2 
 • svietivosť: 2 x 2400 lm 
 • teplota farby: 4000 K 
 • IP stupeň ochrany: IP65 
 • dĺžka napájacieho kábla: 2,1 m 
 • napájanie: 220-240 V~ /  50-60 Hz 
 • rozmery: 0,7 x 0,8 x (0,8-1,7) m 
 • hmotnosť: 3 kg 
 • ďalšie informácie: svetelný zdroj LED vo svietidle sa nedá vymeniť • svietidlo nie je vhodné na zvýrazňujúce osvetlenie</t>
        </is>
      </c>
    </row>
    <row r="469">
      <c r="A469" s="3" t="inlineStr">
        <is>
          <t>FLP 1600 SOLAR</t>
        </is>
      </c>
      <c r="B469" s="2" t="inlineStr">
        <is>
          <t>LED reflektor so solárnym panelom a senzorom pohybu</t>
        </is>
      </c>
      <c r="C469" s="1" t="n">
        <v>73.99</v>
      </c>
      <c r="D469" s="7" t="n">
        <f>HYPERLINK("https://www.somogyi.sk/product/led-reflektor-so-solarnym-panelom-a-senzorom-pohybu-flp-1600-solar-17129","https://www.somogyi.sk/product/led-reflektor-so-solarnym-panelom-a-senzorom-pohybu-flp-1600-solar-17129")</f>
        <v>0.0</v>
      </c>
      <c r="E469" s="7" t="n">
        <f>HYPERLINK("https://www.somogyi.sk/productimages/product_main_images/small/17129.jpg","https://www.somogyi.sk/productimages/product_main_images/small/17129.jpg")</f>
        <v>0.0</v>
      </c>
      <c r="F469" s="2" t="inlineStr">
        <is>
          <t>5999084951610</t>
        </is>
      </c>
      <c r="G469" s="4" t="inlineStr">
        <is>
          <t xml:space="preserve"> • farba: čierna 
 • výkon: 15 W 
 • umiestnenie na stenu: áno 
 • zdroj svetla: LED 
 • počet zdrojov svetla: 40 ks SMD 2835 LED 
 • svietivosť: 1600 lm 
 • teplota farby: 6000 K 
 • IP stupeň ochrany: IP65 
 • napájanie: zabudovaný akumulátor Lithium pack, 18650 
 • kapacita akumulátora: 5400 mAh / 7,4 V 
 • rozmery: 23,2 x 49,2 x 5,8 cm 
 • hmotnosť: 3,4 kg 
 • ďalšie informácie: materiál: ABS, PC, solárny panel 9,5 Wp monokryštalický silikón, 
 •  nastaviteľný uhol sklonu: hore 20°, dole 10°, 
 •  možno ľahko pripevniť na stenu, rovný (max. ∅60 mm) alebo zakrivený (max. ∅50 mm) stĺp</t>
        </is>
      </c>
    </row>
    <row r="470">
      <c r="A470" s="3" t="inlineStr">
        <is>
          <t>JSL 3300</t>
        </is>
      </c>
      <c r="B470" s="2" t="inlineStr">
        <is>
          <t>Pracovné svietidlo</t>
        </is>
      </c>
      <c r="C470" s="1" t="n">
        <v>76.99</v>
      </c>
      <c r="D470" s="7" t="n">
        <f>HYPERLINK("https://www.somogyi.sk/product/pracovne-svietidlo-jsl-3300-17770","https://www.somogyi.sk/product/pracovne-svietidlo-jsl-3300-17770")</f>
        <v>0.0</v>
      </c>
      <c r="E470" s="7" t="n">
        <f>HYPERLINK("https://www.somogyi.sk/productimages/product_main_images/small/17770.jpg","https://www.somogyi.sk/productimages/product_main_images/small/17770.jpg")</f>
        <v>0.0</v>
      </c>
      <c r="F470" s="2" t="inlineStr">
        <is>
          <t>5999084957926</t>
        </is>
      </c>
      <c r="G470" s="4" t="inlineStr">
        <is>
          <t xml:space="preserve"> • farba: žltá / čierna 
 • výkon: max. 30 W 
 • prenosný: áno 
 • zdroj svetla: COB LED 
 • počet zdrojov svetla: 2 x 15 W COB LED 
 • svietivosť: max. 3300 lumen, min. 500 lumen 
 • teplota farby: 5000 K 
 • IP stupeň ochrany: IP44 
 • dĺžka napájacieho kábla: dĺžka nabíjacieho kábla: 100 cm 
 • napájanie: zabudovaný Li-ion 18650 mAh akumulátor, 7,4 V , 4400 mAh 
 • rozmery: rozmery: 10 x 12,5 x 47,1 cm / 10 x 12,5 x 68,5 cm 
 • hmotnosť: 1,1 kg</t>
        </is>
      </c>
    </row>
    <row r="471">
      <c r="A471" s="6" t="inlineStr">
        <is>
          <t xml:space="preserve">   Osvetlenie / Stolné svietidlo</t>
        </is>
      </c>
      <c r="B471" s="6" t="inlineStr">
        <is>
          <t/>
        </is>
      </c>
      <c r="C471" s="6" t="inlineStr">
        <is>
          <t/>
        </is>
      </c>
      <c r="D471" s="6" t="inlineStr">
        <is>
          <t/>
        </is>
      </c>
      <c r="E471" s="6" t="inlineStr">
        <is>
          <t/>
        </is>
      </c>
      <c r="F471" s="6" t="inlineStr">
        <is>
          <t/>
        </is>
      </c>
      <c r="G471" s="6" t="inlineStr">
        <is>
          <t/>
        </is>
      </c>
    </row>
    <row r="472">
      <c r="A472" s="3" t="inlineStr">
        <is>
          <t>LA 10 Q</t>
        </is>
      </c>
      <c r="B472" s="2" t="inlineStr">
        <is>
          <t>LED stolné svietidlo s bezdrôtovou nabíjačkou, biela</t>
        </is>
      </c>
      <c r="C472" s="1" t="n">
        <v>39.99</v>
      </c>
      <c r="D472" s="7" t="n">
        <f>HYPERLINK("https://www.somogyi.sk/product/led-stolne-svietidlo-s-bezdrotovou-nabijackou-biela-la-10-q-18200","https://www.somogyi.sk/product/led-stolne-svietidlo-s-bezdrotovou-nabijackou-biela-la-10-q-18200")</f>
        <v>0.0</v>
      </c>
      <c r="E472" s="7" t="n">
        <f>HYPERLINK("https://www.somogyi.sk/productimages/product_main_images/small/18200.jpg","https://www.somogyi.sk/productimages/product_main_images/small/18200.jpg")</f>
        <v>0.0</v>
      </c>
      <c r="F472" s="2" t="inlineStr">
        <is>
          <t>5999084962227</t>
        </is>
      </c>
      <c r="G472" s="4" t="inlineStr">
        <is>
          <t xml:space="preserve"> • výkon: 6 W 
 • svietivosť: 600 lm 
 • ovládanie zvukom a dotykom: dotykové ovládanie 
 • nastaviteľná svietivosť: 5 stupňov 
 • budík: áno 
 • napájanie hodín: 1 x 3 V (CR 2032) batéria, je príslušenstvom 
 • rozmery: 11,5 x 33,5 x 28,5 cm 
 •  
 • ďalšie informácie: svetelný zdroj LED vo svietidle sa nedá vymeniť 
 • farba: biela</t>
        </is>
      </c>
    </row>
    <row r="473">
      <c r="A473" s="3" t="inlineStr">
        <is>
          <t>LA 4</t>
        </is>
      </c>
      <c r="B473" s="2" t="inlineStr">
        <is>
          <t>LED stolné svietidlo s nočným svetlom, kovové, čierna</t>
        </is>
      </c>
      <c r="C473" s="1" t="n">
        <v>28.99</v>
      </c>
      <c r="D473" s="7" t="n">
        <f>HYPERLINK("https://www.somogyi.sk/product/led-stolne-svietidlo-s-nocnym-svetlom-kovove-cierna-la-4-18201","https://www.somogyi.sk/product/led-stolne-svietidlo-s-nocnym-svetlom-kovove-cierna-la-4-18201")</f>
        <v>0.0</v>
      </c>
      <c r="E473" s="7" t="n">
        <f>HYPERLINK("https://www.somogyi.sk/productimages/product_main_images/small/18201.jpg","https://www.somogyi.sk/productimages/product_main_images/small/18201.jpg")</f>
        <v>0.0</v>
      </c>
      <c r="F473" s="2" t="inlineStr">
        <is>
          <t>5999084962234</t>
        </is>
      </c>
      <c r="G473" s="4" t="inlineStr">
        <is>
          <t xml:space="preserve"> • výkon: 5 W 
 • zdroj svetla: SMD LED 
 • svietivosť: 450 lm 
 • teplota farby: nastaviteľné v 5 úrovniach: od teplej bielej cez prirodzené odtiene až po studenú bielu (3000 K, 3500 K, 4200 K, 5000 K, 6000 K) 
 • ovládanie zvukom a dotykom: dotykové ovládanie 
 • nastaviteľná svietivosť: áno 
 • rozmery: 11,5 x 41,2 x 37 cm 
 •  
 • ďalšie informácie: LED zdroj svetla vo svietidle sa nedá vymeniť.</t>
        </is>
      </c>
    </row>
    <row r="474">
      <c r="A474" s="3" t="inlineStr">
        <is>
          <t>LA 51</t>
        </is>
      </c>
      <c r="B474" s="2" t="inlineStr">
        <is>
          <t>LED stolné svietidlo</t>
        </is>
      </c>
      <c r="C474" s="1" t="n">
        <v>39.99</v>
      </c>
      <c r="D474" s="7" t="n">
        <f>HYPERLINK("https://www.somogyi.sk/product/led-stolne-svietidlo-la-51-18174","https://www.somogyi.sk/product/led-stolne-svietidlo-la-51-18174")</f>
        <v>0.0</v>
      </c>
      <c r="E474" s="7" t="n">
        <f>HYPERLINK("https://www.somogyi.sk/productimages/product_main_images/small/18174.jpg","https://www.somogyi.sk/productimages/product_main_images/small/18174.jpg")</f>
        <v>0.0</v>
      </c>
      <c r="F474" s="2" t="inlineStr">
        <is>
          <t>5999084961961</t>
        </is>
      </c>
      <c r="G474" s="4" t="inlineStr">
        <is>
          <t xml:space="preserve"> • výkon: 5 W 
 • zdroj svetla: SMD LED 
 • počet zdrojov svetla: 4 ks teplých bielych a 10 ks studených bielych SMD LED 
 • svietivosť: 400 lm 
 • teplota farby: 2700 K / 5000 K 
 • ovládanie zvukom a dotykom: dotykové ovládanie 
 • nastaviteľná svietivosť: 5 stupňov 
 • budík: áno 
 • napájanie hodín: 1 x 3 V (CR2032), je príslušenstvom 
 • rozmery: 26 x 33 x 15 cm 
 • hmotnosť: 0,79 kg 
 •  
 • ďalšie informácie: LED zdroj svetla vo svietidle sa nedá vymeniť.</t>
        </is>
      </c>
    </row>
    <row r="475">
      <c r="A475" s="3" t="inlineStr">
        <is>
          <t>LA 3</t>
        </is>
      </c>
      <c r="B475" s="2" t="inlineStr">
        <is>
          <t>LED stolná lampa, so sieťovým adaptérom</t>
        </is>
      </c>
      <c r="C475" s="1" t="n">
        <v>11.99</v>
      </c>
      <c r="D475" s="7" t="n">
        <f>HYPERLINK("https://www.somogyi.sk/product/led-stolna-lampa-so-sietovym-adapterom-la-3-14937","https://www.somogyi.sk/product/led-stolna-lampa-so-sietovym-adapterom-la-3-14937")</f>
        <v>0.0</v>
      </c>
      <c r="E475" s="7" t="n">
        <f>HYPERLINK("https://www.somogyi.sk/productimages/product_main_images/small/14937.jpg","https://www.somogyi.sk/productimages/product_main_images/small/14937.jpg")</f>
        <v>0.0</v>
      </c>
      <c r="F475" s="2" t="inlineStr">
        <is>
          <t>5999084929725</t>
        </is>
      </c>
      <c r="G475" s="4" t="inlineStr">
        <is>
          <t xml:space="preserve"> • výkon: 2 W 
 • zdroj svetla: LED 
 • objímka: - 
 • počet zdrojov svetla: 16 ks 
 • svietivosť: 200 lm 
 • teplota farby: 5500 K 
 • ovládanie zvukom a dotykom: dotykové spínače 
 • nastaviteľná svietivosť: 3 stupne 
 • budík: - 
 • energetická trieda: - 
 • dĺžka napájacieho kábla: 0,7 m 
 • napájanie: 3 x AA batéria (nie je príslušenstvom), sieťový adaptér (USB) 
 • rozmery: 8 x 16 x 22 cm 
 • ďalšie informácie: príslušenstvo: sieťový adaptér, USB kábel</t>
        </is>
      </c>
    </row>
    <row r="476">
      <c r="A476" s="6" t="inlineStr">
        <is>
          <t xml:space="preserve">   Osvetlenie / Redukčná objímka</t>
        </is>
      </c>
      <c r="B476" s="6" t="inlineStr">
        <is>
          <t/>
        </is>
      </c>
      <c r="C476" s="6" t="inlineStr">
        <is>
          <t/>
        </is>
      </c>
      <c r="D476" s="6" t="inlineStr">
        <is>
          <t/>
        </is>
      </c>
      <c r="E476" s="6" t="inlineStr">
        <is>
          <t/>
        </is>
      </c>
      <c r="F476" s="6" t="inlineStr">
        <is>
          <t/>
        </is>
      </c>
      <c r="G476" s="6" t="inlineStr">
        <is>
          <t/>
        </is>
      </c>
    </row>
    <row r="477">
      <c r="A477" s="3" t="inlineStr">
        <is>
          <t>GU10/E27</t>
        </is>
      </c>
      <c r="B477" s="2" t="inlineStr">
        <is>
          <t>Redukčná objímka na žiarovky</t>
        </is>
      </c>
      <c r="C477" s="1" t="n">
        <v>1.89</v>
      </c>
      <c r="D477" s="7" t="n">
        <f>HYPERLINK("https://www.somogyi.sk/product/redukcna-objimka-na-ziarovky-gu10-e27-9034","https://www.somogyi.sk/product/redukcna-objimka-na-ziarovky-gu10-e27-9034")</f>
        <v>0.0</v>
      </c>
      <c r="E477" s="7" t="n">
        <f>HYPERLINK("https://www.somogyi.sk/productimages/product_main_images/small/09034.jpg","https://www.somogyi.sk/productimages/product_main_images/small/09034.jpg")</f>
        <v>0.0</v>
      </c>
      <c r="F477" s="2" t="inlineStr">
        <is>
          <t>5998312779149</t>
        </is>
      </c>
      <c r="G477" s="4" t="inlineStr">
        <is>
          <t xml:space="preserve"> • objímka zdroja svetla: GU10 
 • objímka svietidla: E27 
 • max. A: 2 A 
 • rozmery: Ø35 x 54 mm</t>
        </is>
      </c>
    </row>
    <row r="478">
      <c r="A478" s="3" t="inlineStr">
        <is>
          <t>E27-GU10</t>
        </is>
      </c>
      <c r="B478" s="2" t="inlineStr">
        <is>
          <t>Redukčná objímka</t>
        </is>
      </c>
      <c r="C478" s="1" t="n">
        <v>1.59</v>
      </c>
      <c r="D478" s="7" t="n">
        <f>HYPERLINK("https://www.somogyi.sk/product/redukcna-objimka-e27-gu10-18111","https://www.somogyi.sk/product/redukcna-objimka-e27-gu10-18111")</f>
        <v>0.0</v>
      </c>
      <c r="E478" s="7" t="n">
        <f>HYPERLINK("https://www.somogyi.sk/productimages/product_main_images/small/18111.jpg","https://www.somogyi.sk/productimages/product_main_images/small/18111.jpg")</f>
        <v>0.0</v>
      </c>
      <c r="F478" s="2" t="inlineStr">
        <is>
          <t>5999084961336</t>
        </is>
      </c>
      <c r="G478" s="4" t="inlineStr">
        <is>
          <t xml:space="preserve"> • objímka zdroja svetla: E27 
 • objímka svietidla: GU10 
 • max. A: 0,3 A 
 • rozmery: N/Ø34 x 57 mm</t>
        </is>
      </c>
    </row>
    <row r="479">
      <c r="A479" s="3" t="inlineStr">
        <is>
          <t>E14/GU10</t>
        </is>
      </c>
      <c r="B479" s="2" t="inlineStr">
        <is>
          <t>Redukčná objímka na žiarovky</t>
        </is>
      </c>
      <c r="C479" s="1" t="n">
        <v>1.99</v>
      </c>
      <c r="D479" s="7" t="n">
        <f>HYPERLINK("https://www.somogyi.sk/product/redukcna-objimka-na-ziarovky-e14-gu10-9744","https://www.somogyi.sk/product/redukcna-objimka-na-ziarovky-e14-gu10-9744")</f>
        <v>0.0</v>
      </c>
      <c r="E479" s="7" t="n">
        <f>HYPERLINK("https://www.somogyi.sk/productimages/product_main_images/small/09744.jpg","https://www.somogyi.sk/productimages/product_main_images/small/09744.jpg")</f>
        <v>0.0</v>
      </c>
      <c r="F479" s="2" t="inlineStr">
        <is>
          <t>5998312784747</t>
        </is>
      </c>
      <c r="G479" s="4" t="inlineStr">
        <is>
          <t xml:space="preserve"> • objímka zdroja svetla: E14 
 • objímka svietidla: GU10 
 • max. A: 0,3 A 
 • rozmery: Ø29 x 39 mm</t>
        </is>
      </c>
    </row>
    <row r="480">
      <c r="A480" s="3" t="inlineStr">
        <is>
          <t>E27/E14</t>
        </is>
      </c>
      <c r="B480" s="2" t="inlineStr">
        <is>
          <t>E27/E14 redukčná objímka</t>
        </is>
      </c>
      <c r="C480" s="1" t="n">
        <v>1.59</v>
      </c>
      <c r="D480" s="7" t="n">
        <f>HYPERLINK("https://www.somogyi.sk/product/e27-e14-redukcna-objimka-e27-e14-14925","https://www.somogyi.sk/product/e27-e14-redukcna-objimka-e27-e14-14925")</f>
        <v>0.0</v>
      </c>
      <c r="E480" s="7" t="n">
        <f>HYPERLINK("https://www.somogyi.sk/productimages/product_main_images/small/14925.jpg","https://www.somogyi.sk/productimages/product_main_images/small/14925.jpg")</f>
        <v>0.0</v>
      </c>
      <c r="F480" s="2" t="inlineStr">
        <is>
          <t>5999084929602</t>
        </is>
      </c>
      <c r="G480" s="4" t="inlineStr">
        <is>
          <t xml:space="preserve"> • objímka zdroja svetla: E27 
 • objímka svietidla: E14 
 • max. A: 2 A 
 • rozmery: Ø41 x 64 mm</t>
        </is>
      </c>
    </row>
    <row r="481">
      <c r="A481" s="3" t="inlineStr">
        <is>
          <t>GU10/E14</t>
        </is>
      </c>
      <c r="B481" s="2" t="inlineStr">
        <is>
          <t>Redukčná objímka na žiarovky</t>
        </is>
      </c>
      <c r="C481" s="1" t="n">
        <v>1.99</v>
      </c>
      <c r="D481" s="7" t="n">
        <f>HYPERLINK("https://www.somogyi.sk/product/redukcna-objimka-na-ziarovky-gu10-e14-9035","https://www.somogyi.sk/product/redukcna-objimka-na-ziarovky-gu10-e14-9035")</f>
        <v>0.0</v>
      </c>
      <c r="E481" s="7" t="n">
        <f>HYPERLINK("https://www.somogyi.sk/productimages/product_main_images/small/09035.jpg","https://www.somogyi.sk/productimages/product_main_images/small/09035.jpg")</f>
        <v>0.0</v>
      </c>
      <c r="F481" s="2" t="inlineStr">
        <is>
          <t>5998312779156</t>
        </is>
      </c>
      <c r="G481" s="4" t="inlineStr">
        <is>
          <t xml:space="preserve"> • objímka zdroja svetla: GU10 
 • objímka svietidla: E14 
 • max. A: 2 A 
 • rozmery: Ø34 x 52 mm</t>
        </is>
      </c>
    </row>
    <row r="482">
      <c r="A482" s="3" t="inlineStr">
        <is>
          <t>E14/E27</t>
        </is>
      </c>
      <c r="B482" s="2" t="inlineStr">
        <is>
          <t>E14/E27 redukčná objímka</t>
        </is>
      </c>
      <c r="C482" s="1" t="n">
        <v>1.45</v>
      </c>
      <c r="D482" s="7" t="n">
        <f>HYPERLINK("https://www.somogyi.sk/product/e14-e27-redukcna-objimka-e14-e27-14926","https://www.somogyi.sk/product/e14-e27-redukcna-objimka-e14-e27-14926")</f>
        <v>0.0</v>
      </c>
      <c r="E482" s="7" t="n">
        <f>HYPERLINK("https://www.somogyi.sk/productimages/product_main_images/small/14926.jpg","https://www.somogyi.sk/productimages/product_main_images/small/14926.jpg")</f>
        <v>0.0</v>
      </c>
      <c r="F482" s="2" t="inlineStr">
        <is>
          <t>5999084929619</t>
        </is>
      </c>
      <c r="G482" s="4" t="inlineStr">
        <is>
          <t xml:space="preserve"> • objímka zdroja svetla: E14 
 • objímka svietidla: E27 
 • max. A: 2 A 
 • rozmery: Ø29 x 45 mm</t>
        </is>
      </c>
    </row>
    <row r="483">
      <c r="A483" s="6" t="inlineStr">
        <is>
          <t xml:space="preserve">   Odpudzovač hmyzu a hlodavcov / Lapač hmyzu</t>
        </is>
      </c>
      <c r="B483" s="6" t="inlineStr">
        <is>
          <t/>
        </is>
      </c>
      <c r="C483" s="6" t="inlineStr">
        <is>
          <t/>
        </is>
      </c>
      <c r="D483" s="6" t="inlineStr">
        <is>
          <t/>
        </is>
      </c>
      <c r="E483" s="6" t="inlineStr">
        <is>
          <t/>
        </is>
      </c>
      <c r="F483" s="6" t="inlineStr">
        <is>
          <t/>
        </is>
      </c>
      <c r="G483" s="6" t="inlineStr">
        <is>
          <t/>
        </is>
      </c>
    </row>
    <row r="484">
      <c r="A484" s="3" t="inlineStr">
        <is>
          <t>IK 240</t>
        </is>
      </c>
      <c r="B484" s="2" t="inlineStr">
        <is>
          <t>Vnútorný elektrický lapač hmyzu</t>
        </is>
      </c>
      <c r="C484" s="1" t="n">
        <v>14.49</v>
      </c>
      <c r="D484" s="7" t="n">
        <f>HYPERLINK("https://www.somogyi.sk/product/vnutorny-elektricky-lapac-hmyzu-ik-240-14418","https://www.somogyi.sk/product/vnutorny-elektricky-lapac-hmyzu-ik-240-14418")</f>
        <v>0.0</v>
      </c>
      <c r="E484" s="7" t="n">
        <f>HYPERLINK("https://www.somogyi.sk/productimages/product_main_images/small/14418.jpg","https://www.somogyi.sk/productimages/product_main_images/small/14418.jpg")</f>
        <v>0.0</v>
      </c>
      <c r="F484" s="2" t="inlineStr">
        <is>
          <t>5999084924669</t>
        </is>
      </c>
      <c r="G484" s="4" t="inlineStr">
        <is>
          <t xml:space="preserve"> • dosah: 30 m² 
 • výkon: 6 W 
 • zachytávacia miska: áno 
 • IP stupeň ochrany: IP 20 
 • závesné: áno 
 • možnosť umiestniť na rovnú plochu: áno 
 • umiestnenie na stenu: nie 
 • dĺžka napájacieho kábla: 1,2 m 
 • napájanie: 230 V~  / 50 Hz 
 • rozmery: 13,5 x 13,5 x 32,5 cm 
 • hmotnosť: 0,78 kg 
 • ďalšie informácie: Zabudované svietidlo je určené na hubenie hmyzu, nie je vhodné na osvetlenie domácnosti!</t>
        </is>
      </c>
    </row>
    <row r="485">
      <c r="A485" s="3" t="inlineStr">
        <is>
          <t>IK 260</t>
        </is>
      </c>
      <c r="B485" s="2" t="inlineStr">
        <is>
          <t>Elektrický lapač hmyzu, 18 W</t>
        </is>
      </c>
      <c r="C485" s="1" t="n">
        <v>22.99</v>
      </c>
      <c r="D485" s="7" t="n">
        <f>HYPERLINK("https://www.somogyi.sk/product/elektricky-lapac-hmyzu-18-w-ik-260-17590","https://www.somogyi.sk/product/elektricky-lapac-hmyzu-18-w-ik-260-17590")</f>
        <v>0.0</v>
      </c>
      <c r="E485" s="7" t="n">
        <f>HYPERLINK("https://www.somogyi.sk/productimages/product_main_images/small/17590.jpg","https://www.somogyi.sk/productimages/product_main_images/small/17590.jpg")</f>
        <v>0.0</v>
      </c>
      <c r="F485" s="2" t="inlineStr">
        <is>
          <t>5999084956127</t>
        </is>
      </c>
      <c r="G485" s="4" t="inlineStr">
        <is>
          <t xml:space="preserve"> • dosah: max. 50 m² 
 • výkon: 18 W 
 • zachytávacia miska: áno 
 • IP stupeň ochrany: IP20 (žiadna ochrana pred vniknutím vody) 
 • závesné: áno 
 • možnosť umiestniť na rovnú plochu: áno 
 • napájanie: 230 V~ / 50 Hz 
 • rozmery: ∅12,5 x 32 cm 
 • ďalšie informácie: ohňovzdorný, nárazuvzdorný plast z materiálu ABS / fialové UV-A svetlo / UV-A žiarivka: E27 2U-BL F18W, 1 x 18 W (nedá sa doma vymeniť)</t>
        </is>
      </c>
    </row>
    <row r="486">
      <c r="A486" s="3" t="inlineStr">
        <is>
          <t>IKF 40</t>
        </is>
      </c>
      <c r="B486" s="2" t="inlineStr">
        <is>
          <t>Elektrický ventilátorový lapač hmyzu, 12 W</t>
        </is>
      </c>
      <c r="C486" s="1" t="n">
        <v>28.99</v>
      </c>
      <c r="D486" s="7" t="n">
        <f>HYPERLINK("https://www.somogyi.sk/product/elektricky-ventilatorovy-lapac-hmyzu-12-w-ikf-40-17591","https://www.somogyi.sk/product/elektricky-ventilatorovy-lapac-hmyzu-12-w-ikf-40-17591")</f>
        <v>0.0</v>
      </c>
      <c r="E486" s="7" t="n">
        <f>HYPERLINK("https://www.somogyi.sk/productimages/product_main_images/small/17591.jpg","https://www.somogyi.sk/productimages/product_main_images/small/17591.jpg")</f>
        <v>0.0</v>
      </c>
      <c r="F486" s="2" t="inlineStr">
        <is>
          <t>5999084956134</t>
        </is>
      </c>
      <c r="G486" s="4" t="inlineStr">
        <is>
          <t xml:space="preserve"> • dosah: max. 40 m² 
 • výkon: 12 W 
 • IP stupeň ochrany: IP20 (žiadna ochrana pred vniknutím vody) 
 • závesné: áno 
 • možnosť umiestniť na rovnú plochu: áno 
 • napájanie: 230 V~ / 50 Hz 
 • rozmery: ∅17,5 x 25 cm</t>
        </is>
      </c>
    </row>
    <row r="487">
      <c r="A487" s="3" t="inlineStr">
        <is>
          <t>T8 F18W BL</t>
        </is>
      </c>
      <c r="B487" s="2" t="inlineStr">
        <is>
          <t>Náhradná žiarivka k IKM 150</t>
        </is>
      </c>
      <c r="C487" s="1" t="n">
        <v>4.29</v>
      </c>
      <c r="D487" s="7" t="n">
        <f>HYPERLINK("https://www.somogyi.sk/product/nahradna-ziarivka-k-ikm-150-t8-f18w-bl-16348","https://www.somogyi.sk/product/nahradna-ziarivka-k-ikm-150-t8-f18w-bl-16348")</f>
        <v>0.0</v>
      </c>
      <c r="E487" s="7" t="n">
        <f>HYPERLINK("https://www.somogyi.sk/productimages/product_main_images/small/16348.jpg","https://www.somogyi.sk/productimages/product_main_images/small/16348.jpg")</f>
        <v>0.0</v>
      </c>
      <c r="F487" s="2" t="inlineStr">
        <is>
          <t>5999084943806</t>
        </is>
      </c>
      <c r="G487" s="4" t="inlineStr">
        <is>
          <t xml:space="preserve"> • výkon: 18 W 
 • N/A: 365 - 400 nm, UV-A 
 • napájanie: 230 V~ 
 • rozmery: Ø26,35 x 587 / 602,5 mm</t>
        </is>
      </c>
    </row>
    <row r="488">
      <c r="A488" s="3" t="inlineStr">
        <is>
          <t>IKM 150</t>
        </is>
      </c>
      <c r="B488" s="2" t="inlineStr">
        <is>
          <t>Elektrický lapač hmyzu, 2x18 W, kovový</t>
        </is>
      </c>
      <c r="C488" s="1" t="n">
        <v>51.99</v>
      </c>
      <c r="D488" s="7" t="n">
        <f>HYPERLINK("https://www.somogyi.sk/product/elektricky-lapac-hmyzu-2x18-w-kovovy-ikm-150-16280","https://www.somogyi.sk/product/elektricky-lapac-hmyzu-2x18-w-kovovy-ikm-150-16280")</f>
        <v>0.0</v>
      </c>
      <c r="E488" s="7" t="n">
        <f>HYPERLINK("https://www.somogyi.sk/productimages/product_main_images/small/16280.jpg","https://www.somogyi.sk/productimages/product_main_images/small/16280.jpg")</f>
        <v>0.0</v>
      </c>
      <c r="F488" s="2" t="inlineStr">
        <is>
          <t>5999084943127</t>
        </is>
      </c>
      <c r="G488" s="4" t="inlineStr">
        <is>
          <t xml:space="preserve"> • dosah: 150 m² 
 • výkon: 36 W 
 • závesné: áno 
 • dĺžka napájacieho kábla: 1 ks 
 • napájanie: 230 V~ / 50 Hz 
 • rozmery: 32 x 66 x 9 cm 
 • hmotnosť: 2,83 kg 
 • ďalšie informácie: - 2 x 18W fiaľová UV-A žiarivka, vymeniteľné (T8 F18W BL) 
 •  - odstrániteľná zachytávacia miska 
 •  - len na vnútorné použitie!</t>
        </is>
      </c>
    </row>
    <row r="489">
      <c r="A489" s="3" t="inlineStr">
        <is>
          <t>IKF 50</t>
        </is>
      </c>
      <c r="B489" s="2" t="inlineStr">
        <is>
          <t>Elektrický ventilátorový lapač hmyzu, 9 W</t>
        </is>
      </c>
      <c r="C489" s="1" t="n">
        <v>33.99</v>
      </c>
      <c r="D489" s="7" t="n">
        <f>HYPERLINK("https://www.somogyi.sk/product/elektricky-ventilatorovy-lapac-hmyzu-9-w-ikf-50-17592","https://www.somogyi.sk/product/elektricky-ventilatorovy-lapac-hmyzu-9-w-ikf-50-17592")</f>
        <v>0.0</v>
      </c>
      <c r="E489" s="7" t="n">
        <f>HYPERLINK("https://www.somogyi.sk/productimages/product_main_images/small/17592.jpg","https://www.somogyi.sk/productimages/product_main_images/small/17592.jpg")</f>
        <v>0.0</v>
      </c>
      <c r="F489" s="2" t="inlineStr">
        <is>
          <t>5999084956141</t>
        </is>
      </c>
      <c r="G489" s="4" t="inlineStr">
        <is>
          <t xml:space="preserve"> • dosah: max. 50 m² 
 • výkon: 11 W 
 • IP stupeň ochrany: IP20 (žiadna ochrana pred vniknutím vody) 
 • závesné: áno 
 • možnosť umiestniť na rovnú plochu: áno 
 • napájanie: 230 V~ / 50 Hz 
 • rozmery: ∅26,5 x 29,5 cm</t>
        </is>
      </c>
    </row>
    <row r="490">
      <c r="A490" s="3" t="inlineStr">
        <is>
          <t>IKM 50</t>
        </is>
      </c>
      <c r="B490" s="2" t="inlineStr">
        <is>
          <t>Vnútorný elektrický lapač hmyzu, 2 x 8 W, kovový</t>
        </is>
      </c>
      <c r="C490" s="1" t="n">
        <v>34.99</v>
      </c>
      <c r="D490" s="7" t="n">
        <f>HYPERLINK("https://www.somogyi.sk/product/vnutorny-elektricky-lapac-hmyzu-2-x-8-w-kovovy-ikm-50-15835","https://www.somogyi.sk/product/vnutorny-elektricky-lapac-hmyzu-2-x-8-w-kovovy-ikm-50-15835")</f>
        <v>0.0</v>
      </c>
      <c r="E490" s="7" t="n">
        <f>HYPERLINK("https://www.somogyi.sk/productimages/product_main_images/small/15835.jpg","https://www.somogyi.sk/productimages/product_main_images/small/15835.jpg")</f>
        <v>0.0</v>
      </c>
      <c r="F490" s="2" t="inlineStr">
        <is>
          <t>5999084938697</t>
        </is>
      </c>
      <c r="G490" s="4" t="inlineStr">
        <is>
          <t xml:space="preserve"> • dosah: 50 m² 
 • výkon: 23 W 
 • závesné: áno 
 • dĺžka napájacieho kábla: 1 m 
 • napájanie: 230 V~ / 50 Hz 
 • rozmery: 35 x 27,2 x 8,6 cm 
 • hmotnosť: 1,79 kg 
 • ďalšie informácie: - 2 x 8W fiaľová UV-A žiarivka, vymeniteľné (T5 F8W BL) 
 •  - odstrániteľná zachytávacia miska 
 •  - len na vnútorné použitie! 
 •  - zabudované svietidlo je určené na lapanie hmyzu, nie je vhodné na osvetlenie miestnosti!</t>
        </is>
      </c>
    </row>
    <row r="491">
      <c r="A491" s="3" t="inlineStr">
        <is>
          <t>IK 230</t>
        </is>
      </c>
      <c r="B491" s="2" t="inlineStr">
        <is>
          <t>Vnútorný elektrický lapač hmyzu</t>
        </is>
      </c>
      <c r="C491" s="1" t="n">
        <v>13.49</v>
      </c>
      <c r="D491" s="7" t="n">
        <f>HYPERLINK("https://www.somogyi.sk/product/vnutorny-elektricky-lapac-hmyzu-ik-230-14417","https://www.somogyi.sk/product/vnutorny-elektricky-lapac-hmyzu-ik-230-14417")</f>
        <v>0.0</v>
      </c>
      <c r="E491" s="7" t="n">
        <f>HYPERLINK("https://www.somogyi.sk/productimages/product_main_images/small/14417.jpg","https://www.somogyi.sk/productimages/product_main_images/small/14417.jpg")</f>
        <v>0.0</v>
      </c>
      <c r="F491" s="2" t="inlineStr">
        <is>
          <t>5999084924652</t>
        </is>
      </c>
      <c r="G491" s="4" t="inlineStr">
        <is>
          <t xml:space="preserve"> • dosah: 20 m² 
 • výkon: 4 W 
 • zachytávacia miska: áno 
 • IP stupeň ochrany: IP 20 
 • závesné: áno 
 • možnosť umiestniť na rovnú plochu: áno 
 • umiestnenie na stenu: nie 
 • dĺžka napájacieho kábla: 1,2 m 
 • napájanie: 230 V~  / 50 Hz 
 • rozmery: 11,5 x 11,5 x 25 cm 
 • hmotnosť: 0,59 kg 
 • ďalšie informácie: Zabudované svietidlo je určené na hubenie hmyzu, nie je vhodné na osvetlenie domácnosti!</t>
        </is>
      </c>
    </row>
    <row r="492">
      <c r="A492" s="3" t="inlineStr">
        <is>
          <t>T5 F8W BL</t>
        </is>
      </c>
      <c r="B492" s="2" t="inlineStr">
        <is>
          <t>UV-A žiarivka, T5, 230 V~, 8 W, 365-400  nm</t>
        </is>
      </c>
      <c r="C492" s="1" t="n">
        <v>3.09</v>
      </c>
      <c r="D492" s="7" t="n">
        <f>HYPERLINK("https://www.somogyi.sk/product/uv-a-ziarivka-t5-230-v-8-w-365-400-nm-t5-f8w-bl-15837","https://www.somogyi.sk/product/uv-a-ziarivka-t5-230-v-8-w-365-400-nm-t5-f8w-bl-15837")</f>
        <v>0.0</v>
      </c>
      <c r="E492" s="7" t="n">
        <f>HYPERLINK("https://www.somogyi.sk/productimages/product_main_images/small/15837.jpg","https://www.somogyi.sk/productimages/product_main_images/small/15837.jpg")</f>
        <v>0.0</v>
      </c>
      <c r="F492" s="2" t="inlineStr">
        <is>
          <t>5999084938710</t>
        </is>
      </c>
      <c r="G492" s="4" t="inlineStr">
        <is>
          <t xml:space="preserve"> • výkon: 8 W 
 • N/A: 365 - 400 nm, UV-A 
 • napájanie: 230 V~ 
 • rozmery: Ø16 x 302,5 / 288,3 mm 
 • ďalšie informácie: Náhradná žiarivka k IKM 50</t>
        </is>
      </c>
    </row>
    <row r="493">
      <c r="A493" s="3" t="inlineStr">
        <is>
          <t>IK 250</t>
        </is>
      </c>
      <c r="B493" s="2" t="inlineStr">
        <is>
          <t>Elektrický lapač hmyzu, 11 W</t>
        </is>
      </c>
      <c r="C493" s="1" t="n">
        <v>16.99</v>
      </c>
      <c r="D493" s="7" t="n">
        <f>HYPERLINK("https://www.somogyi.sk/product/elektricky-lapac-hmyzu-11-w-ik-250-17589","https://www.somogyi.sk/product/elektricky-lapac-hmyzu-11-w-ik-250-17589")</f>
        <v>0.0</v>
      </c>
      <c r="E493" s="7" t="n">
        <f>HYPERLINK("https://www.somogyi.sk/productimages/product_main_images/small/17589.jpg","https://www.somogyi.sk/productimages/product_main_images/small/17589.jpg")</f>
        <v>0.0</v>
      </c>
      <c r="F493" s="2" t="inlineStr">
        <is>
          <t>5999084956110</t>
        </is>
      </c>
      <c r="G493" s="4" t="inlineStr">
        <is>
          <t xml:space="preserve"> • dosah: max. 40 m² 
 • výkon: 11 W 
 • zachytávacia miska: áno 
 • IP stupeň ochrany: IP20 (žiadna ochrana pred vniknutím vody) 
 • závesné: áno 
 • možnosť umiestniť na rovnú plochu: áno 
 • napájanie: 230 V~ / 50 Hz 
 • rozmery: 11,5 x 30 x 10 cm 
 • ďalšie informácie: ohňovzdorný, nárazuvzdorný plast z materiálu ABS / fialové UV-A svetlo / UV-A žiarivka: G23 BL PL F11W, 1 x 11 W (nedá sa doma vymeniť)</t>
        </is>
      </c>
    </row>
    <row r="494">
      <c r="A494" s="6" t="inlineStr">
        <is>
          <t xml:space="preserve">   Odpudzovač hmyzu a hlodavcov / Odpudzovač hmyzu, hlodavcov a zvierat</t>
        </is>
      </c>
      <c r="B494" s="6" t="inlineStr">
        <is>
          <t/>
        </is>
      </c>
      <c r="C494" s="6" t="inlineStr">
        <is>
          <t/>
        </is>
      </c>
      <c r="D494" s="6" t="inlineStr">
        <is>
          <t/>
        </is>
      </c>
      <c r="E494" s="6" t="inlineStr">
        <is>
          <t/>
        </is>
      </c>
      <c r="F494" s="6" t="inlineStr">
        <is>
          <t/>
        </is>
      </c>
      <c r="G494" s="6" t="inlineStr">
        <is>
          <t/>
        </is>
      </c>
    </row>
    <row r="495">
      <c r="A495" s="3" t="inlineStr">
        <is>
          <t>UH 10</t>
        </is>
      </c>
      <c r="B495" s="2" t="inlineStr">
        <is>
          <t>Ultrazvukový odpudzovač hmyzu, 30 nm, 230V</t>
        </is>
      </c>
      <c r="C495" s="1" t="n">
        <v>3.29</v>
      </c>
      <c r="D495" s="7" t="n">
        <f>HYPERLINK("https://www.somogyi.sk/product/ultrazvukovy-odpudzovac-hmyzu-30-nm-230v-uh-10-14404","https://www.somogyi.sk/product/ultrazvukovy-odpudzovac-hmyzu-30-nm-230v-uh-10-14404")</f>
        <v>0.0</v>
      </c>
      <c r="E495" s="7" t="n">
        <f>HYPERLINK("https://www.somogyi.sk/productimages/product_main_images/small/14404.jpg","https://www.somogyi.sk/productimages/product_main_images/small/14404.jpg")</f>
        <v>0.0</v>
      </c>
      <c r="F495" s="2" t="inlineStr">
        <is>
          <t>5999084924522</t>
        </is>
      </c>
      <c r="G495" s="4" t="inlineStr">
        <is>
          <t xml:space="preserve"> • účinný proti: komáre 
 • materiál: - 
 • prevádzka: 7 KHz 
 • senzor pohybu: nie 
 • zabudované osvetlenie: nie 
 • dosah: 30 m² 
 • na vonkajšie použitie: nie 
 • napájanie: 230 V~  / 0,5 W 
 • rozmery: 5,6 x 3 x 2 cm 
 • hmotnosť: 0,04 kg</t>
        </is>
      </c>
    </row>
    <row r="496">
      <c r="A496" s="3" t="inlineStr">
        <is>
          <t>IN 25131</t>
        </is>
      </c>
      <c r="B496" s="2" t="inlineStr">
        <is>
          <t>Odpudzovač krtkov</t>
        </is>
      </c>
      <c r="C496" s="1" t="n">
        <v>48.99</v>
      </c>
      <c r="D496" s="7" t="n">
        <f>HYPERLINK("https://www.somogyi.sk/product/odpudzovac-krtkov-in-25131-16870","https://www.somogyi.sk/product/odpudzovac-krtkov-in-25131-16870")</f>
        <v>0.0</v>
      </c>
      <c r="E496" s="7" t="n">
        <f>HYPERLINK("https://www.somogyi.sk/productimages/product_main_images/small/16870.jpg","https://www.somogyi.sk/productimages/product_main_images/small/16870.jpg")</f>
        <v>0.0</v>
      </c>
      <c r="F496" s="2" t="inlineStr">
        <is>
          <t>7350007336675</t>
        </is>
      </c>
      <c r="G496" s="4" t="inlineStr">
        <is>
          <t xml:space="preserve"> • materiál: kov / plast 
 • prevádzka: zvuky nízkej frekvencie 
 • dosah: 1250 m² podľa typu pôdy 
 • na vonkajšie použitie: áno 
 • napájanie: 4 x 1,5 V (D) batéria, nie je príslušenstvom 
 • rozmery: 38 cm 
 • balenie: 1 ks</t>
        </is>
      </c>
    </row>
    <row r="497">
      <c r="A497" s="3" t="inlineStr">
        <is>
          <t>IN 25301</t>
        </is>
      </c>
      <c r="B497" s="2" t="inlineStr">
        <is>
          <t>Mice &amp; Rat Free 50</t>
        </is>
      </c>
      <c r="C497" s="1" t="n">
        <v>32.99</v>
      </c>
      <c r="D497" s="7" t="n">
        <f>HYPERLINK("https://www.somogyi.sk/product/mice-rat-free-50-in-25301-16865","https://www.somogyi.sk/product/mice-rat-free-50-in-25301-16865")</f>
        <v>0.0</v>
      </c>
      <c r="E497" s="7" t="n">
        <f>HYPERLINK("https://www.somogyi.sk/productimages/product_main_images/small/16865.jpg","https://www.somogyi.sk/productimages/product_main_images/small/16865.jpg")</f>
        <v>0.0</v>
      </c>
      <c r="F497" s="2" t="inlineStr">
        <is>
          <t>7350007336576</t>
        </is>
      </c>
      <c r="G497" s="4" t="inlineStr">
        <is>
          <t xml:space="preserve"> • účinný proti: myš, potkan 
 • materiál: kov, plast 
 • prevádzka: ultrazvuk 
 • dosah: 50 m² 
 • na vonkajšie použitie: nie 
 • napájanie: 230 V~ 
 • rozmery: 6,2 x 8,5 x 6,4 cm</t>
        </is>
      </c>
    </row>
    <row r="498">
      <c r="A498" s="3" t="inlineStr">
        <is>
          <t>IN 25352</t>
        </is>
      </c>
      <c r="B498" s="2" t="inlineStr">
        <is>
          <t>Silverline batériový odpudzovač kún</t>
        </is>
      </c>
      <c r="C498" s="1" t="n">
        <v>64.99</v>
      </c>
      <c r="D498" s="7" t="n">
        <f>HYPERLINK("https://www.somogyi.sk/product/silverline-bateriovy-odpudzovac-kun-in-25352-16872","https://www.somogyi.sk/product/silverline-bateriovy-odpudzovac-kun-in-25352-16872")</f>
        <v>0.0</v>
      </c>
      <c r="E498" s="7" t="n">
        <f>HYPERLINK("https://www.somogyi.sk/productimages/product_main_images/small/16872.jpg","https://www.somogyi.sk/productimages/product_main_images/small/16872.jpg")</f>
        <v>0.0</v>
      </c>
      <c r="F498" s="2" t="inlineStr">
        <is>
          <t>7350007336705</t>
        </is>
      </c>
      <c r="G498" s="4" t="inlineStr">
        <is>
          <t xml:space="preserve"> • účinný proti: kuna 
 • materiál: plast 
 • prevádzka: ultrazvuk 
 • senzor pohybu: nie 
 • dosah: 50 m² 
 • na vonkajšie použitie: nie 
 • napájanie: 3 x 1,5 V (LR14) batéria, nie je príslušenstvom 
 • rozmery: 3,7 x 13 x 8 cm</t>
        </is>
      </c>
    </row>
    <row r="499">
      <c r="A499" s="3" t="inlineStr">
        <is>
          <t>VKS 02</t>
        </is>
      </c>
      <c r="B499" s="2" t="inlineStr">
        <is>
          <t>Solárny odpudzovač krtkov, kolík, 350 m2</t>
        </is>
      </c>
      <c r="C499" s="1" t="n">
        <v>9.29</v>
      </c>
      <c r="D499" s="7" t="n">
        <f>HYPERLINK("https://www.somogyi.sk/product/solarny-odpudzovac-krtkov-kolik-350-m2-vks-02-13329","https://www.somogyi.sk/product/solarny-odpudzovac-krtkov-kolik-350-m2-vks-02-13329")</f>
        <v>0.0</v>
      </c>
      <c r="E499" s="7" t="n">
        <f>HYPERLINK("https://www.somogyi.sk/productimages/product_main_images/small/13329.jpg","https://www.somogyi.sk/productimages/product_main_images/small/13329.jpg")</f>
        <v>0.0</v>
      </c>
      <c r="F499" s="2" t="inlineStr">
        <is>
          <t>5999084914158</t>
        </is>
      </c>
      <c r="G499" s="4" t="inlineStr">
        <is>
          <t xml:space="preserve"> • účinný proti: podzemné hlodavce, krtko 
 • materiál: plast, hliníková tyč 
 • prevádzka: 400 Hz +/- 100 Hz 
 • senzor pohybu: nie 
 • frekvencia vibrácií: 30 sek. 
 • zabudované osvetlenie: nie 
 • dosah: 350 m² 
 • na vonkajšie použitie: áno 
 • napájanie: akumulátor: 1,2 V / 600 mAh/ AA (NiMH) 
 • rozmery: Ø15,5 x 26 cm 
 • hmotnosť: 0,33 kg</t>
        </is>
      </c>
    </row>
    <row r="500">
      <c r="A500" s="3" t="inlineStr">
        <is>
          <t>DOG 01</t>
        </is>
      </c>
      <c r="B500" s="2" t="inlineStr">
        <is>
          <t>Prenosný odpudzovač psa</t>
        </is>
      </c>
      <c r="C500" s="1" t="n">
        <v>6.99</v>
      </c>
      <c r="D500" s="7" t="n">
        <f>HYPERLINK("https://www.somogyi.sk/product/prenosny-odpudzovac-psa-dog-01-17047","https://www.somogyi.sk/product/prenosny-odpudzovac-psa-dog-01-17047")</f>
        <v>0.0</v>
      </c>
      <c r="E500" s="7" t="n">
        <f>HYPERLINK("https://www.somogyi.sk/productimages/product_main_images/small/17047.jpg","https://www.somogyi.sk/productimages/product_main_images/small/17047.jpg")</f>
        <v>0.0</v>
      </c>
      <c r="F500" s="2" t="inlineStr">
        <is>
          <t>5999084950798</t>
        </is>
      </c>
      <c r="G500" s="4" t="inlineStr">
        <is>
          <t xml:space="preserve"> • materiál: plast 
 • dosah: 10 m 
 • napájanie: 1 X 9 V (6LR61), nie je príslušenstvom 
 • rozmery: 12,5 X 2,5 X 4 cm</t>
        </is>
      </c>
    </row>
    <row r="501">
      <c r="A501" s="3" t="inlineStr">
        <is>
          <t>VK 02</t>
        </is>
      </c>
      <c r="B501" s="2" t="inlineStr">
        <is>
          <t>Odpudzovač krtkov</t>
        </is>
      </c>
      <c r="C501" s="1" t="n">
        <v>6.59</v>
      </c>
      <c r="D501" s="7" t="n">
        <f>HYPERLINK("https://www.somogyi.sk/product/odpudzovac-krtkov-vk-02-17048","https://www.somogyi.sk/product/odpudzovac-krtkov-vk-02-17048")</f>
        <v>0.0</v>
      </c>
      <c r="E501" s="7" t="n">
        <f>HYPERLINK("https://www.somogyi.sk/productimages/product_main_images/small/17048.jpg","https://www.somogyi.sk/productimages/product_main_images/small/17048.jpg")</f>
        <v>0.0</v>
      </c>
      <c r="F501" s="2" t="inlineStr">
        <is>
          <t>5999084950804</t>
        </is>
      </c>
      <c r="G501" s="4" t="inlineStr">
        <is>
          <t xml:space="preserve"> • materiál: plast 
 • frekvencia vibrácií: 50 sek 
 • dosah: 800 m² 
 • na vonkajšie použitie: áno 
 • napájanie: 3 x 1,5 V LR20 (D), nie je príslušenstvom 
 • rozmery: 5 x 7 x 30 cm 
 • balenie: 1 ks</t>
        </is>
      </c>
    </row>
    <row r="502">
      <c r="A502" s="3" t="inlineStr">
        <is>
          <t>AR 01</t>
        </is>
      </c>
      <c r="B502" s="2" t="inlineStr">
        <is>
          <t>Odpudzovač zvierat</t>
        </is>
      </c>
      <c r="C502" s="1" t="n">
        <v>22.99</v>
      </c>
      <c r="D502" s="7" t="n">
        <f>HYPERLINK("https://www.somogyi.sk/product/odpudzovac-zvierat-ar-01-17049","https://www.somogyi.sk/product/odpudzovac-zvierat-ar-01-17049")</f>
        <v>0.0</v>
      </c>
      <c r="E502" s="7" t="n">
        <f>HYPERLINK("https://www.somogyi.sk/productimages/product_main_images/small/17049.jpg","https://www.somogyi.sk/productimages/product_main_images/small/17049.jpg")</f>
        <v>0.0</v>
      </c>
      <c r="F502" s="2" t="inlineStr">
        <is>
          <t>5999084950811</t>
        </is>
      </c>
      <c r="G502" s="4" t="inlineStr">
        <is>
          <t xml:space="preserve"> • účinný proti: vhodné na odpudenie psov, mačiek, líšok, veveričiek a malých hlodavcov 
 • materiál: plast 
 •  
 • dosah: dosah pohybového senzora až 8 m a 120° 
 • na vonkajšie použitie: áno 
 • napájanie: 4 x 1,2 V 300 mAh NiMh (AA) vymeniteľný akumulátor, je príslušenstvom 
 • rozmery: ∅13 x 34 cm</t>
        </is>
      </c>
    </row>
    <row r="503">
      <c r="A503" s="3" t="inlineStr">
        <is>
          <t>IN 25306</t>
        </is>
      </c>
      <c r="B503" s="2" t="inlineStr">
        <is>
          <t>Elektrický odpudzovač myší a hlodavcov</t>
        </is>
      </c>
      <c r="C503" s="1" t="n">
        <v>62.99</v>
      </c>
      <c r="D503" s="7" t="n">
        <f>HYPERLINK("https://www.somogyi.sk/product/elektricky-odpudzovac-mysi-a-hlodavcov-in-25306-16868","https://www.somogyi.sk/product/elektricky-odpudzovac-mysi-a-hlodavcov-in-25306-16868")</f>
        <v>0.0</v>
      </c>
      <c r="E503" s="7" t="n">
        <f>HYPERLINK("https://www.somogyi.sk/productimages/product_main_images/small/16868.jpg","https://www.somogyi.sk/productimages/product_main_images/small/16868.jpg")</f>
        <v>0.0</v>
      </c>
      <c r="F503" s="2" t="inlineStr">
        <is>
          <t>7350007336637</t>
        </is>
      </c>
      <c r="G503" s="4" t="inlineStr">
        <is>
          <t xml:space="preserve"> • účinný proti: myš, hlodavce 
 • materiál: kov, plast 
 • dosah: 80 m² ultrazvuk / 200 m² elektromagnetický impulz 
 • na vonkajšie použitie: nie 
 • napájanie: 230 V~ / 3,5 W 
 • rozmery: 6,5 x 11,9 x 7 cm</t>
        </is>
      </c>
    </row>
    <row r="504">
      <c r="A504" s="3" t="inlineStr">
        <is>
          <t>MK-202</t>
        </is>
      </c>
      <c r="B504" s="2" t="inlineStr">
        <is>
          <t>Elektrický odpudzovač komárov 2 x 2W žiarovka</t>
        </is>
      </c>
      <c r="C504" s="1" t="n">
        <v>9.79</v>
      </c>
      <c r="D504" s="7" t="n">
        <f>HYPERLINK("https://www.somogyi.sk/product/elektricky-odpudzovac-komarov-2-x-2w-ziarovka-mk-202-13032","https://www.somogyi.sk/product/elektricky-odpudzovac-komarov-2-x-2w-ziarovka-mk-202-13032")</f>
        <v>0.0</v>
      </c>
      <c r="E504" s="7" t="n">
        <f>HYPERLINK("https://www.somogyi.sk/productimages/product_main_images/small/13032.jpg","https://www.somogyi.sk/productimages/product_main_images/small/13032.jpg")</f>
        <v>0.0</v>
      </c>
      <c r="F504" s="2" t="inlineStr">
        <is>
          <t>5998777335386</t>
        </is>
      </c>
      <c r="G504" s="4" t="inlineStr">
        <is>
          <t xml:space="preserve"> • účinný proti: komáre 
 • materiál: plast 
 • prevádzka: vysoké napätie 
 • senzor pohybu: nie 
 • zabudované osvetlenie: UV žiarovka 
 • dosah: 20 m² 
 • na vonkajšie použitie: nie 
 • napájanie: 230 V~  / 50 Hz</t>
        </is>
      </c>
    </row>
    <row r="505">
      <c r="A505" s="3" t="inlineStr">
        <is>
          <t>IN 25370</t>
        </is>
      </c>
      <c r="B505" s="2" t="inlineStr">
        <is>
          <t>Elektrický odpudzovač komárov</t>
        </is>
      </c>
      <c r="C505" s="1" t="n">
        <v>32.99</v>
      </c>
      <c r="D505" s="7" t="n">
        <f>HYPERLINK("https://www.somogyi.sk/product/elektricky-odpudzovac-komarov-in-25370-16874","https://www.somogyi.sk/product/elektricky-odpudzovac-komarov-in-25370-16874")</f>
        <v>0.0</v>
      </c>
      <c r="E505" s="7" t="n">
        <f>HYPERLINK("https://www.somogyi.sk/productimages/product_main_images/small/16874.jpg","https://www.somogyi.sk/productimages/product_main_images/small/16874.jpg")</f>
        <v>0.0</v>
      </c>
      <c r="F505" s="2" t="inlineStr">
        <is>
          <t>7350007336729</t>
        </is>
      </c>
      <c r="G505" s="4" t="inlineStr">
        <is>
          <t xml:space="preserve"> • účinný proti: komár 
 • materiál: plast 
 • prevádzka: ultrazvuk 
 • dosah: 25 m² 
 • na vonkajšie použitie: nie 
 • napájanie: 230 V~  / 1 W 
 • rozmery: 6,2 x 8,9 x 7 cm 
 • balenie: 1 ks</t>
        </is>
      </c>
    </row>
    <row r="506">
      <c r="A506" s="3" t="inlineStr">
        <is>
          <t>IN 25350</t>
        </is>
      </c>
      <c r="B506" s="2" t="inlineStr">
        <is>
          <t>Silverline batériový odpudzovač kún a mačiek</t>
        </is>
      </c>
      <c r="C506" s="1" t="n">
        <v>78.99</v>
      </c>
      <c r="D506" s="7" t="n">
        <f>HYPERLINK("https://www.somogyi.sk/product/silverline-bateriovy-odpudzovac-kun-a-maciek-in-25350-16871","https://www.somogyi.sk/product/silverline-bateriovy-odpudzovac-kun-a-maciek-in-25350-16871")</f>
        <v>0.0</v>
      </c>
      <c r="E506" s="7" t="n">
        <f>HYPERLINK("https://www.somogyi.sk/productimages/product_main_images/small/16871.jpg","https://www.somogyi.sk/productimages/product_main_images/small/16871.jpg")</f>
        <v>0.0</v>
      </c>
      <c r="F506" s="2" t="inlineStr">
        <is>
          <t>7350007336699</t>
        </is>
      </c>
      <c r="G506" s="4" t="inlineStr">
        <is>
          <t xml:space="preserve"> • účinný proti: kuna a mačka 
 • materiál: plast 
 • senzor pohybu: áno, detekcia do 12 m 
 • zabudované osvetlenie: červená LED kontrolka stavu a svetla 
 • dosah: 200 m² 
 • na vonkajšie použitie: áno, IP 44 
 • napájanie: 4 x1,5 V AA (LR 6) batéria (nie je príslušenstvom) 
 • rozmery: 7,2 x 14,7 x 6 cm 
 • príslušenstvo: zapichovací prvok, dľžka: 21 cm</t>
        </is>
      </c>
    </row>
    <row r="507">
      <c r="A507" s="3" t="inlineStr">
        <is>
          <t>IN 22150</t>
        </is>
      </c>
      <c r="B507" s="2" t="inlineStr">
        <is>
          <t>Silverline mechanická pasca na myši</t>
        </is>
      </c>
      <c r="C507" s="1" t="n">
        <v>3.79</v>
      </c>
      <c r="D507" s="7" t="n">
        <f>HYPERLINK("https://www.somogyi.sk/product/silverline-mechanicka-pasca-na-mysi-in-22150-16889","https://www.somogyi.sk/product/silverline-mechanicka-pasca-na-mysi-in-22150-16889")</f>
        <v>0.0</v>
      </c>
      <c r="E507" s="7" t="n">
        <f>HYPERLINK("https://www.somogyi.sk/productimages/product_main_images/small/16889.jpg","https://www.somogyi.sk/productimages/product_main_images/small/16889.jpg")</f>
        <v>0.0</v>
      </c>
      <c r="F507" s="2" t="inlineStr">
        <is>
          <t>7350007337085</t>
        </is>
      </c>
      <c r="G507" s="4" t="inlineStr">
        <is>
          <t xml:space="preserve"> • účinný proti: myš 
 • materiál: kovová / plastová 
 • prevádzka: mechanický 
 • rozmery: 55 x 50 x 135 mm 
 • balenie: 1 ks</t>
        </is>
      </c>
    </row>
    <row r="508">
      <c r="A508" s="3" t="inlineStr">
        <is>
          <t>IN 22142</t>
        </is>
      </c>
      <c r="B508" s="2" t="inlineStr">
        <is>
          <t>Mechanická pasca na potkany</t>
        </is>
      </c>
      <c r="C508" s="1" t="n">
        <v>3.89</v>
      </c>
      <c r="D508" s="7" t="n">
        <f>HYPERLINK("https://www.somogyi.sk/product/mechanicka-pasca-na-potkany-in-22142-16892","https://www.somogyi.sk/product/mechanicka-pasca-na-potkany-in-22142-16892")</f>
        <v>0.0</v>
      </c>
      <c r="E508" s="7" t="n">
        <f>HYPERLINK("https://www.somogyi.sk/productimages/product_main_images/small/16892.jpg","https://www.somogyi.sk/productimages/product_main_images/small/16892.jpg")</f>
        <v>0.0</v>
      </c>
      <c r="F508" s="2" t="inlineStr">
        <is>
          <t>7350007336774</t>
        </is>
      </c>
      <c r="G508" s="4" t="inlineStr">
        <is>
          <t xml:space="preserve"> • účinný proti: potkan 
 • materiál: kovová / plastová 
 • prevádzka: mechanický 
 • rozmery: 2,4 x 19 x 8 cm 
 • balenie: 1 ks</t>
        </is>
      </c>
    </row>
    <row r="509">
      <c r="A509" s="3" t="inlineStr">
        <is>
          <t>VKS 04</t>
        </is>
      </c>
      <c r="B509" s="2" t="inlineStr">
        <is>
          <t>Solárny odpudzovač krtkov s LED svetlom, kolík 800 m2</t>
        </is>
      </c>
      <c r="C509" s="1" t="n">
        <v>11.49</v>
      </c>
      <c r="D509" s="7" t="n">
        <f>HYPERLINK("https://www.somogyi.sk/product/solarny-odpudzovac-krtkov-s-led-svetlom-kolik-800-m2-vks-04-14332","https://www.somogyi.sk/product/solarny-odpudzovac-krtkov-s-led-svetlom-kolik-800-m2-vks-04-14332")</f>
        <v>0.0</v>
      </c>
      <c r="E509" s="7" t="n">
        <f>HYPERLINK("https://www.somogyi.sk/productimages/product_main_images/small/14332.jpg","https://www.somogyi.sk/productimages/product_main_images/small/14332.jpg")</f>
        <v>0.0</v>
      </c>
      <c r="F509" s="2" t="inlineStr">
        <is>
          <t>5999084923808</t>
        </is>
      </c>
      <c r="G509" s="4" t="inlineStr">
        <is>
          <t xml:space="preserve"> • účinný proti: podzemné hlodavce, krtko 
 • materiál: plast, hliníková tyč 
 • prevádzka: 400 Hz +/- 100 Hz 
 • senzor pohybu: nie 
 • frekvencia vibrácií: 50 sek. 
 • zabudované osvetlenie: LED 
 • dosah: 800 m² 
 • na vonkajšie použitie: áno 
 • napájanie: akumulátor: 1,2 V / 300 mAh/ AA (NiMH) 
 • rozmery: Ø15 x 37 cm 
 • hmotnosť: 0,41 kg</t>
        </is>
      </c>
    </row>
    <row r="510">
      <c r="A510" s="3" t="inlineStr">
        <is>
          <t>IN 22425</t>
        </is>
      </c>
      <c r="B510" s="2" t="inlineStr">
        <is>
          <t>Mucholapka</t>
        </is>
      </c>
      <c r="C510" s="1" t="n">
        <v>2.39</v>
      </c>
      <c r="D510" s="7" t="n">
        <f>HYPERLINK("https://www.somogyi.sk/product/mucholapka-in-22425-16903","https://www.somogyi.sk/product/mucholapka-in-22425-16903")</f>
        <v>0.0</v>
      </c>
      <c r="E510" s="7" t="n">
        <f>HYPERLINK("https://www.somogyi.sk/productimages/product_main_images/small/16903.jpg","https://www.somogyi.sk/productimages/product_main_images/small/16903.jpg")</f>
        <v>0.0</v>
      </c>
      <c r="F510" s="2" t="inlineStr">
        <is>
          <t>7350007336903</t>
        </is>
      </c>
      <c r="G510" s="4" t="inlineStr">
        <is>
          <t xml:space="preserve"> • účinný proti: mucha</t>
        </is>
      </c>
    </row>
    <row r="511">
      <c r="A511" s="3" t="inlineStr">
        <is>
          <t>IN 25342</t>
        </is>
      </c>
      <c r="B511" s="2" t="inlineStr">
        <is>
          <t>Odpudzovač pavúkov, ultrazvukový</t>
        </is>
      </c>
      <c r="C511" s="1" t="n">
        <v>27.99</v>
      </c>
      <c r="D511" s="7" t="n">
        <f>HYPERLINK("https://www.somogyi.sk/product/odpudzovac-pavukov-ultrazvukovy-in-25342-16873","https://www.somogyi.sk/product/odpudzovac-pavukov-ultrazvukovy-in-25342-16873")</f>
        <v>0.0</v>
      </c>
      <c r="E511" s="7" t="n">
        <f>HYPERLINK("https://www.somogyi.sk/productimages/product_main_images/small/16873.jpg","https://www.somogyi.sk/productimages/product_main_images/small/16873.jpg")</f>
        <v>0.0</v>
      </c>
      <c r="F511" s="2" t="inlineStr">
        <is>
          <t>7350007336712</t>
        </is>
      </c>
      <c r="G511" s="4" t="inlineStr">
        <is>
          <t xml:space="preserve"> • účinný proti: pavúk 
 • materiál: kov, plast 
 • senzor pohybu: nie 
 • dosah: 30 m² 
 • na vonkajšie použitie: nie 
 • napájanie: 230 V~ / 1 W 
 • rozmery: 6,2 x 8,5 x 6,4 cm</t>
        </is>
      </c>
    </row>
    <row r="512">
      <c r="A512" s="3" t="inlineStr">
        <is>
          <t>VK 01</t>
        </is>
      </c>
      <c r="B512" s="2" t="inlineStr">
        <is>
          <t>Odpudzovač krtkov, 2000 m²,  9V</t>
        </is>
      </c>
      <c r="C512" s="1" t="n">
        <v>19.99</v>
      </c>
      <c r="D512" s="7" t="n">
        <f>HYPERLINK("https://www.somogyi.sk/product/odpudzovac-krtkov-2000-m-9v-vk-01-7649","https://www.somogyi.sk/product/odpudzovac-krtkov-2000-m-9v-vk-01-7649")</f>
        <v>0.0</v>
      </c>
      <c r="E512" s="7" t="n">
        <f>HYPERLINK("https://www.somogyi.sk/productimages/product_main_images/small/07649.jpg","https://www.somogyi.sk/productimages/product_main_images/small/07649.jpg")</f>
        <v>0.0</v>
      </c>
      <c r="F512" s="2" t="inlineStr">
        <is>
          <t>5998177309574</t>
        </is>
      </c>
      <c r="G512" s="4" t="inlineStr">
        <is>
          <t xml:space="preserve"> • účinný proti: krtko, myš, hraboš poľný 
 • materiál: plast 
 • prevádzka: mechanické vibrácie 
 • senzor pohybu: nie 
 • frekvencia vibrácií: 35 - 80 sek. 
 • zabudované osvetlenie: nie 
 • dosah: až 3000  m² 
 • na vonkajšie použitie: áno 
 • napájanie: 1 x 6LR61 (9 V) batéria (nie je príslušenstvom) 
 • rozmery: Ø4 x 30 cm 
 • hmotnosť: 0,2 kg</t>
        </is>
      </c>
    </row>
    <row r="513">
      <c r="A513" s="3" t="inlineStr">
        <is>
          <t>IN 25308</t>
        </is>
      </c>
      <c r="B513" s="2" t="inlineStr">
        <is>
          <t>Elektrický odpudzovač myší a hlodavcov</t>
        </is>
      </c>
      <c r="C513" s="1" t="n">
        <v>82.99</v>
      </c>
      <c r="D513" s="7" t="n">
        <f>HYPERLINK("https://www.somogyi.sk/product/elektricky-odpudzovac-mysi-a-hlodavcov-in-25308-16869","https://www.somogyi.sk/product/elektricky-odpudzovac-mysi-a-hlodavcov-in-25308-16869")</f>
        <v>0.0</v>
      </c>
      <c r="E513" s="7" t="n">
        <f>HYPERLINK("https://www.somogyi.sk/productimages/product_main_images/small/16869.jpg","https://www.somogyi.sk/productimages/product_main_images/small/16869.jpg")</f>
        <v>0.0</v>
      </c>
      <c r="F513" s="2" t="inlineStr">
        <is>
          <t>7350007336651</t>
        </is>
      </c>
      <c r="G513" s="4" t="inlineStr">
        <is>
          <t xml:space="preserve"> • účinný proti: myš, hlodavce 
 • materiál: kov, plast 
 • dosah: 130 m² ultrazvuk / 400 m² elektromagnetický impulz 
 • na vonkajšie použitie: nie 
 • napájanie: 230 V~/ 4 W 
 • rozmery: 7,5 x 14 x 8 cm</t>
        </is>
      </c>
    </row>
    <row r="514">
      <c r="A514" s="3" t="inlineStr">
        <is>
          <t>IN 25304</t>
        </is>
      </c>
      <c r="B514" s="2" t="inlineStr">
        <is>
          <t>Silverline odpudzovač myší a hlodavcov</t>
        </is>
      </c>
      <c r="C514" s="1" t="n">
        <v>43.99</v>
      </c>
      <c r="D514" s="7" t="n">
        <f>HYPERLINK("https://www.somogyi.sk/product/silverline-odpudzovac-mysi-a-hlodavcov-in-25304-16866","https://www.somogyi.sk/product/silverline-odpudzovac-mysi-a-hlodavcov-in-25304-16866")</f>
        <v>0.0</v>
      </c>
      <c r="E514" s="7" t="n">
        <f>HYPERLINK("https://www.somogyi.sk/productimages/product_main_images/small/16866.jpg","https://www.somogyi.sk/productimages/product_main_images/small/16866.jpg")</f>
        <v>0.0</v>
      </c>
      <c r="F514" s="2" t="inlineStr">
        <is>
          <t>7350007336590</t>
        </is>
      </c>
      <c r="G514" s="4" t="inlineStr">
        <is>
          <t xml:space="preserve"> • účinný proti: myš, potkan 
 • materiál: kov, plast 
 • prevádzka: ultrazvuk 
 • dosah: 30 m² 
 • na vonkajšie použitie: nie 
 • napájanie: 230 V~ 
 • rozmery: 6,1 x 7,2 x 6,4 cm</t>
        </is>
      </c>
    </row>
    <row r="515">
      <c r="A515" s="6" t="inlineStr">
        <is>
          <t xml:space="preserve">   Odpudzovač hmyzu a hlodavcov / Sieťka proti komárom</t>
        </is>
      </c>
      <c r="B515" s="6" t="inlineStr">
        <is>
          <t/>
        </is>
      </c>
      <c r="C515" s="6" t="inlineStr">
        <is>
          <t/>
        </is>
      </c>
      <c r="D515" s="6" t="inlineStr">
        <is>
          <t/>
        </is>
      </c>
      <c r="E515" s="6" t="inlineStr">
        <is>
          <t/>
        </is>
      </c>
      <c r="F515" s="6" t="inlineStr">
        <is>
          <t/>
        </is>
      </c>
      <c r="G515" s="6" t="inlineStr">
        <is>
          <t/>
        </is>
      </c>
    </row>
    <row r="516">
      <c r="A516" s="3" t="inlineStr">
        <is>
          <t>IN 22452</t>
        </is>
      </c>
      <c r="B516" s="2" t="inlineStr">
        <is>
          <t>Sieťka proti komárom na okno, filter proti prachu a peľu</t>
        </is>
      </c>
      <c r="C516" s="1" t="n">
        <v>10.49</v>
      </c>
      <c r="D516" s="7" t="n">
        <f>HYPERLINK("https://www.somogyi.sk/product/sietka-proti-komarom-na-okno-filter-proti-prachu-a-pelu-in-22452-16900","https://www.somogyi.sk/product/sietka-proti-komarom-na-okno-filter-proti-prachu-a-pelu-in-22452-16900")</f>
        <v>0.0</v>
      </c>
      <c r="E516" s="7" t="n">
        <f>HYPERLINK("https://www.somogyi.sk/productimages/product_main_images/small/16900.jpg","https://www.somogyi.sk/productimages/product_main_images/small/16900.jpg")</f>
        <v>0.0</v>
      </c>
      <c r="F516" s="2" t="inlineStr">
        <is>
          <t>7350007336965</t>
        </is>
      </c>
      <c r="G516" s="4" t="inlineStr">
        <is>
          <t xml:space="preserve"> • rozmery: 130 x 150 cm 
 •  
 • účinný proti: komár 
 • balenie: 1 ks/krabica</t>
        </is>
      </c>
    </row>
    <row r="517">
      <c r="A517" s="3" t="inlineStr">
        <is>
          <t>IN 22455</t>
        </is>
      </c>
      <c r="B517" s="2" t="inlineStr">
        <is>
          <t>Sieťka proti komárom na dvere</t>
        </is>
      </c>
      <c r="C517" s="1" t="n">
        <v>12.99</v>
      </c>
      <c r="D517" s="7" t="n">
        <f>HYPERLINK("https://www.somogyi.sk/product/sietka-proti-komarom-na-dvere-in-22455-16898","https://www.somogyi.sk/product/sietka-proti-komarom-na-dvere-in-22455-16898")</f>
        <v>0.0</v>
      </c>
      <c r="E517" s="7" t="n">
        <f>HYPERLINK("https://www.somogyi.sk/productimages/product_main_images/small/16898.jpg","https://www.somogyi.sk/productimages/product_main_images/small/16898.jpg")</f>
        <v>0.0</v>
      </c>
      <c r="F517" s="2" t="inlineStr">
        <is>
          <t>7350007336972</t>
        </is>
      </c>
      <c r="G517" s="4" t="inlineStr">
        <is>
          <t xml:space="preserve"> • rozmery: 75 x 250 cm 
 •  
 • účinný proti: komár 
 • balenie: 2 ks/krabica</t>
        </is>
      </c>
    </row>
    <row r="518">
      <c r="A518" s="3" t="inlineStr">
        <is>
          <t>IN 22450</t>
        </is>
      </c>
      <c r="B518" s="2" t="inlineStr">
        <is>
          <t>Sieťka proti komárom na okno</t>
        </is>
      </c>
      <c r="C518" s="1" t="n">
        <v>8.09</v>
      </c>
      <c r="D518" s="7" t="n">
        <f>HYPERLINK("https://www.somogyi.sk/product/sietka-proti-komarom-na-okno-in-22450-16899","https://www.somogyi.sk/product/sietka-proti-komarom-na-okno-in-22450-16899")</f>
        <v>0.0</v>
      </c>
      <c r="E518" s="7" t="n">
        <f>HYPERLINK("https://www.somogyi.sk/productimages/product_main_images/small/16899.jpg","https://www.somogyi.sk/productimages/product_main_images/small/16899.jpg")</f>
        <v>0.0</v>
      </c>
      <c r="F518" s="2" t="inlineStr">
        <is>
          <t>7350007336958</t>
        </is>
      </c>
      <c r="G518" s="4" t="inlineStr">
        <is>
          <t xml:space="preserve"> • rozmery: 130 x 150 cm 
 • účinný proti: komár 
 • balenie: 1 ks</t>
        </is>
      </c>
    </row>
    <row r="519">
      <c r="A519" s="3" t="inlineStr">
        <is>
          <t>ISM 90210</t>
        </is>
      </c>
      <c r="B519" s="2" t="inlineStr">
        <is>
          <t>Magnetická sieťka proti hmyzu 90 x 210 cm</t>
        </is>
      </c>
      <c r="C519" s="1" t="n">
        <v>13.49</v>
      </c>
      <c r="D519" s="7" t="n">
        <f>HYPERLINK("https://www.somogyi.sk/product/magneticka-sietka-proti-hmyzu-90-x-210-cm-ism-90210-17599","https://www.somogyi.sk/product/magneticka-sietka-proti-hmyzu-90-x-210-cm-ism-90210-17599")</f>
        <v>0.0</v>
      </c>
      <c r="E519" s="7" t="n">
        <f>HYPERLINK("https://www.somogyi.sk/productimages/product_main_images/small/17599.jpg","https://www.somogyi.sk/productimages/product_main_images/small/17599.jpg")</f>
        <v>0.0</v>
      </c>
      <c r="F519" s="2" t="inlineStr">
        <is>
          <t>5999084956219</t>
        </is>
      </c>
      <c r="G519" s="4" t="inlineStr">
        <is>
          <t xml:space="preserve"> • jednoduchá montáž pomocou samolepiaceho suchého zipsu 
 • magnetické zatváranie 
 • odolné, extra silné prevedenie 
 • ideálna na dvere s rozmermi: 90 x 210 cm</t>
        </is>
      </c>
    </row>
    <row r="520">
      <c r="A520" s="6" t="inlineStr">
        <is>
          <t xml:space="preserve">   Vykurovanie, Odvlhčovanie / Elektrický krb</t>
        </is>
      </c>
      <c r="B520" s="6" t="inlineStr">
        <is>
          <t/>
        </is>
      </c>
      <c r="C520" s="6" t="inlineStr">
        <is>
          <t/>
        </is>
      </c>
      <c r="D520" s="6" t="inlineStr">
        <is>
          <t/>
        </is>
      </c>
      <c r="E520" s="6" t="inlineStr">
        <is>
          <t/>
        </is>
      </c>
      <c r="F520" s="6" t="inlineStr">
        <is>
          <t/>
        </is>
      </c>
      <c r="G520" s="6" t="inlineStr">
        <is>
          <t/>
        </is>
      </c>
    </row>
    <row r="521">
      <c r="A521" s="3" t="inlineStr">
        <is>
          <t>FKK 18</t>
        </is>
      </c>
      <c r="B521" s="2" t="inlineStr">
        <is>
          <t>Voľne stojaci elektrický krb</t>
        </is>
      </c>
      <c r="C521" s="1" t="n">
        <v>494.9</v>
      </c>
      <c r="D521" s="7" t="n">
        <f>HYPERLINK("https://www.somogyi.sk/product/volne-stojaci-elektricky-krb-fkk-18-15863","https://www.somogyi.sk/product/volne-stojaci-elektricky-krb-fkk-18-15863")</f>
        <v>0.0</v>
      </c>
      <c r="E521" s="7" t="n">
        <f>HYPERLINK("https://www.somogyi.sk/productimages/product_main_images/small/15863.jpg","https://www.somogyi.sk/productimages/product_main_images/small/15863.jpg")</f>
        <v>0.0</v>
      </c>
      <c r="F521" s="2" t="inlineStr">
        <is>
          <t>5999084938970</t>
        </is>
      </c>
      <c r="G521" s="4" t="inlineStr">
        <is>
          <t xml:space="preserve"> • biely MDF 
 • možnosť používať efekt reálneho plameňa a žeravých polien aj samostatne a regulovať jeho jas 
 • 2 stupne ohrievania: 1000 W / 2000 W 
 • elektronický termostat 
 • týždenný program 
 • adaptívna regulácia zapnutia 
 • automatické vypnutie v prípade prehriatia 
 • všetky funkcie na diaľkové ovládanie 
 • horný výfukový bod 
 • rozmery: 109 x 100 x 37 cm 
 • hmotnosť: 45 kg 
 • Výrobok nie je vhodný na osvetlenie domácnosti.</t>
        </is>
      </c>
    </row>
    <row r="522">
      <c r="A522" s="3" t="inlineStr">
        <is>
          <t>FKKI 03</t>
        </is>
      </c>
      <c r="B522" s="2" t="inlineStr">
        <is>
          <t>Zabudovateľný elektrický krb</t>
        </is>
      </c>
      <c r="C522" s="1" t="n">
        <v>207.9</v>
      </c>
      <c r="D522" s="7" t="n">
        <f>HYPERLINK("https://www.somogyi.sk/product/zabudovatelny-elektricky-krb-fkki-03-16104","https://www.somogyi.sk/product/zabudovatelny-elektricky-krb-fkki-03-16104")</f>
        <v>0.0</v>
      </c>
      <c r="E522" s="7" t="n">
        <f>HYPERLINK("https://www.somogyi.sk/productimages/product_main_images/small/16104.jpg","https://www.somogyi.sk/productimages/product_main_images/small/16104.jpg")</f>
        <v>0.0</v>
      </c>
      <c r="F522" s="2" t="inlineStr">
        <is>
          <t>5999084941369</t>
        </is>
      </c>
      <c r="G522" s="4" t="inlineStr">
        <is>
          <t xml:space="preserve"> • možnosť používať LED efekt reálneho plameňa aj samostatne 
 • 2 stupne ohrievania: 1000 W / 2000 W 
 • elektronický termostat 
 • týždenný program 
 • detekcia otvorenia okna 
 • automatické vypnutie v prípade prehriatia 
 • všetky funkcie na diaľkové ovládanie 
 • horný výfukový bod 
 • rozmery: 60 x 44 x 20 cm 
 • Tento výrobok nie je vhodný na osvetlenie miestností v domácnosti.</t>
        </is>
      </c>
    </row>
    <row r="523">
      <c r="A523" s="3" t="inlineStr">
        <is>
          <t>FKKI 05</t>
        </is>
      </c>
      <c r="B523" s="2" t="inlineStr">
        <is>
          <t>Zabudovateľný krb</t>
        </is>
      </c>
      <c r="C523" s="1" t="n">
        <v>281.9</v>
      </c>
      <c r="D523" s="7" t="n">
        <f>HYPERLINK("https://www.somogyi.sk/product/zabudovatelny-krb-fkki-05-17783","https://www.somogyi.sk/product/zabudovatelny-krb-fkki-05-17783")</f>
        <v>0.0</v>
      </c>
      <c r="E523" s="7" t="n">
        <f>HYPERLINK("https://www.somogyi.sk/productimages/product_main_images/small/17783.jpg","https://www.somogyi.sk/productimages/product_main_images/small/17783.jpg")</f>
        <v>0.0</v>
      </c>
      <c r="F523" s="2" t="inlineStr">
        <is>
          <t>5999084958053</t>
        </is>
      </c>
      <c r="G523" s="4" t="inlineStr">
        <is>
          <t xml:space="preserve"> • umiestnenie: môže byť zabudovaný alebo nástenný 
 • diaľkový ovládač: áno 
 • stupne teploty: 1000 W / 2000 W 
 • ventilátor: áno 
 • zdroj svetla: zabudovaný LED zdroj svetla (max 13 W, nedá sa vymeniť) 
 • programovateľné: áno 
 • termostat: elektronický termostat 
 • materiál: kov / sklo 
 • N/A: 30 m² 
 • hlučnosť: 50 dB(A) 
 • vhodný aj do kúpeľne: nie 
 • dĺžka napájacieho kábla: 1,5 m 
 • napájanie: 230 V~ / 50 Hz 
 • napájanie diaľkového ovládača: 2 x AAA batéria (nie je príslušenstvom) 
 • rozmery: 91,5 x 45 x 17 cm 
 • montážne rozmery: 82 x 43 cm 
 • hmotnosť: 16 kg</t>
        </is>
      </c>
    </row>
    <row r="524">
      <c r="A524" s="3" t="inlineStr">
        <is>
          <t>FKKF 02</t>
        </is>
      </c>
      <c r="B524" s="2" t="inlineStr">
        <is>
          <t>MILANO tobacco buk rám pre krbovú vložku</t>
        </is>
      </c>
      <c r="C524" s="1" t="n">
        <v>277.9</v>
      </c>
      <c r="D524" s="7" t="n">
        <f>HYPERLINK("https://www.somogyi.sk/product/milano-tobacco-buk-ram-pre-krbovu-vlozku-fkkf-02-17867","https://www.somogyi.sk/product/milano-tobacco-buk-ram-pre-krbovu-vlozku-fkkf-02-17867")</f>
        <v>0.0</v>
      </c>
      <c r="E524" s="7" t="n">
        <f>HYPERLINK("https://www.somogyi.sk/productimages/product_main_images/small/17867.jpg","https://www.somogyi.sk/productimages/product_main_images/small/17867.jpg")</f>
        <v>0.0</v>
      </c>
      <c r="F524" s="2" t="inlineStr">
        <is>
          <t>5999084958893</t>
        </is>
      </c>
      <c r="G524" s="4" t="inlineStr">
        <is>
          <t xml:space="preserve"> • rozmery: 96,5 x 76,5 x 27,5 cm</t>
        </is>
      </c>
    </row>
    <row r="525">
      <c r="A525" s="3" t="inlineStr">
        <is>
          <t>FKK 3000 WIFI</t>
        </is>
      </c>
      <c r="B525" s="2" t="inlineStr">
        <is>
          <t>Smart nástenný krb</t>
        </is>
      </c>
      <c r="C525" s="1" t="n">
        <v>272.9</v>
      </c>
      <c r="D525" s="7" t="n">
        <f>HYPERLINK("https://www.somogyi.sk/product/smart-nastenny-krb-fkk-3000-wifi-16116","https://www.somogyi.sk/product/smart-nastenny-krb-fkk-3000-wifi-16116")</f>
        <v>0.0</v>
      </c>
      <c r="E525" s="7" t="n">
        <f>HYPERLINK("https://www.somogyi.sk/productimages/product_main_images/small/16116.jpg","https://www.somogyi.sk/productimages/product_main_images/small/16116.jpg")</f>
        <v>0.0</v>
      </c>
      <c r="F525" s="2" t="inlineStr">
        <is>
          <t>5999084941482</t>
        </is>
      </c>
      <c r="G525" s="4" t="inlineStr">
        <is>
          <t xml:space="preserve"> • umiestnenie: nástenný 
 • wifi: áno 
 • diaľkový ovládač: áno 
 • stupne teploty: 1000 W / 2000 W 
 • ventilátor: áno 
 • stupne svetelných efektov: možnosť zmeniť farbu plameňového efektu 
 • zdroj svetla: LED 
 • samostatne zapnuteľný plameňový efekt: áno 
 • programovateľné: s aplikáciou pre smartfón(iOS 9.0 → vagy Android 4.4 →), senzor otvorenia okna 
 • termostat: áno 
 • N/A: 10 °C - 30 °C (nastaviteľný v aplikácii Tuya) 
 • materiál: predný panel z kaleného skla 
 • N/A: 30 m² 
 • hlučnosť: 56 dB(A) 
 • vhodný aj do kúpeľne: nie 
 • dĺžka napájacieho kábla: 1,7 m 
 • napájanie: 230 V~ / 50 Hz 
 • rozmery: 100 x 50 x 13 cm 
 • hmotnosť: 16 Kg 
 • ďalšie informácie: Tento výrobok nie je vhodný na osvetlenie miestností v domácnosti!</t>
        </is>
      </c>
    </row>
    <row r="526">
      <c r="A526" s="3" t="inlineStr">
        <is>
          <t>FKK BORA BORA</t>
        </is>
      </c>
      <c r="B526" s="2" t="inlineStr">
        <is>
          <t>FKKF 01   FKKI 03</t>
        </is>
      </c>
      <c r="C526" s="1" t="n">
        <v>414.9</v>
      </c>
      <c r="D526" s="7" t="n">
        <f>HYPERLINK("https://www.somogyi.sk/product/fkkf-01-fkki-03-fkk-bora-bora-17831","https://www.somogyi.sk/product/fkkf-01-fkki-03-fkk-bora-bora-17831")</f>
        <v>0.0</v>
      </c>
      <c r="E526" s="7" t="n">
        <f>HYPERLINK("https://www.somogyi.sk/productimages/product_main_images/small/17831.jpg","https://www.somogyi.sk/productimages/product_main_images/small/17831.jpg")</f>
        <v>0.0</v>
      </c>
      <c r="F526" s="2" t="inlineStr">
        <is>
          <t>5999084958534</t>
        </is>
      </c>
      <c r="G526" s="4" t="inlineStr">
        <is>
          <t xml:space="preserve"> • umiestnenie: stojanový 
 • diaľkový ovládač: áno 
 • stupne teploty: 1000 W / 2000 W 
 • stupne svetelných efektov: 5 stupní 
 • zdroj svetla: LED 
 • samostatne zapnuteľný plameňový efekt: áno 
 • programovateľné: týždenný program / detekcia otvorenia okna 
 • N/A: 15 °C - 30 °C 
 • N/A: 30 m² 
 • hlučnosť: 50 dB(A) 
 • vhodný aj do kúpeľne: nie 
 • dĺžka napájacieho kábla: 1,5 m 
 • napájanie: 230 V~ / 50 Hz 
 • napájanie diaľkového ovládača: 2 x AAA batéria (nie je príslušenstvom) 
 • rozmery: 95 x 80 x 26,5 cm 
 • ďalšie informácie: obsah balíka: FKKF 01   FKKI 03</t>
        </is>
      </c>
    </row>
    <row r="527">
      <c r="A527" s="3" t="inlineStr">
        <is>
          <t>FKK 17</t>
        </is>
      </c>
      <c r="B527" s="2" t="inlineStr">
        <is>
          <t>Elektrický nástenný krb</t>
        </is>
      </c>
      <c r="C527" s="1" t="n">
        <v>253.9</v>
      </c>
      <c r="D527" s="7" t="n">
        <f>HYPERLINK("https://www.somogyi.sk/product/elektricky-nastenny-krb-fkk-17-16937","https://www.somogyi.sk/product/elektricky-nastenny-krb-fkk-17-16937")</f>
        <v>0.0</v>
      </c>
      <c r="E527" s="7" t="n">
        <f>HYPERLINK("https://www.somogyi.sk/productimages/product_main_images/small/16937.jpg","https://www.somogyi.sk/productimages/product_main_images/small/16937.jpg")</f>
        <v>0.0</v>
      </c>
      <c r="F527" s="2" t="inlineStr">
        <is>
          <t>5999084949693</t>
        </is>
      </c>
      <c r="G527" s="4" t="inlineStr">
        <is>
          <t xml:space="preserve"> • umiestnenie: nástenný 
 • diaľkový ovládač: áno 
 • stupne teploty: 1000 W / 2000 W 
 • ventilátor: áno 
 • stupne svetelných efektov: 5 stupňov 
 • zdroj svetla: LED (10 W) 
 • samostatne zapnuteľný plameňový efekt: áno 
 • termostat: áno 
 • N/A: 15 °C - 30 °C 
 • materiál: kalené predné sklo 
 • N/A: 30 m² 
 • hlučnosť: 50 dB(A) 
 • vhodný aj do kúpeľne: nie 
 • dĺžka napájacieho kábla: 1,7 m 
 • napájanie: 230 V~  / 50 Hz 
 • rozmery: 88,5 x 48 x 13,5 cm 
 • hmotnosť: 13,6 kg 
 • ďalšie informácie: Tento výrobok nie je vhodný na osvetlenie miestností v domácnosti!</t>
        </is>
      </c>
    </row>
    <row r="528">
      <c r="A528" s="3" t="inlineStr">
        <is>
          <t>FKK PALERMO</t>
        </is>
      </c>
      <c r="B528" s="2" t="inlineStr">
        <is>
          <t>FKKF 04   FKKI 03</t>
        </is>
      </c>
      <c r="C528" s="1" t="n">
        <v>500.9</v>
      </c>
      <c r="D528" s="7" t="n">
        <f>HYPERLINK("https://www.somogyi.sk/product/fkkf-04-fkki-03-fkk-palermo-18059","https://www.somogyi.sk/product/fkkf-04-fkki-03-fkk-palermo-18059")</f>
        <v>0.0</v>
      </c>
      <c r="E528" s="7" t="n">
        <f>HYPERLINK("https://www.somogyi.sk/productimages/product_main_images/small/18059.jpg","https://www.somogyi.sk/productimages/product_main_images/small/18059.jpg")</f>
        <v>0.0</v>
      </c>
      <c r="F528" s="2" t="inlineStr">
        <is>
          <t>5999084960810</t>
        </is>
      </c>
      <c r="G528" s="4" t="inlineStr">
        <is>
          <t xml:space="preserve"> • umiestnenie: stojanový 
 • diaľkový ovládač: áno 
 • stupne teploty: 1000 W / 2000 W 
 • stupne svetelných efektov: 5 stupní 
 • zdroj svetla: LED 
 • samostatne zapnuteľný plameňový efekt: áno 
 • programovateľné: týždenný program / detekcia otvorenia okna 
 • N/A: 15 °C - 30 °C 
 • N/A: 30 m² 
 • hlučnosť: 50 dB(A) 
 • vhodný aj do kúpeľne: nie 
 • dĺžka napájacieho kábla: 1,5 m 
 • napájanie: 230 V~ / 50 Hz 
 • napájanie diaľkového ovládača: 2 x AAA batéria (nie je príslušenstvom) 
 • rozmery: 92,5 x 76 x 25 cm 
 • ďalšie informácie: obsah balíka: FKKF 04   FKKI 03</t>
        </is>
      </c>
    </row>
    <row r="529">
      <c r="A529" s="3" t="inlineStr">
        <is>
          <t>FKK 15</t>
        </is>
      </c>
      <c r="B529" s="2" t="inlineStr">
        <is>
          <t>Elektrický krb</t>
        </is>
      </c>
      <c r="C529" s="1" t="n">
        <v>89.99</v>
      </c>
      <c r="D529" s="7" t="n">
        <f>HYPERLINK("https://www.somogyi.sk/product/elektricky-krb-fkk-15-15976","https://www.somogyi.sk/product/elektricky-krb-fkk-15-15976")</f>
        <v>0.0</v>
      </c>
      <c r="E529" s="7" t="n">
        <f>HYPERLINK("https://www.somogyi.sk/productimages/product_main_images/small/15976.jpg","https://www.somogyi.sk/productimages/product_main_images/small/15976.jpg")</f>
        <v>0.0</v>
      </c>
      <c r="F529" s="2" t="inlineStr">
        <is>
          <t>5999084940102</t>
        </is>
      </c>
      <c r="G529" s="4" t="inlineStr">
        <is>
          <t xml:space="preserve"> • umiestnenie: stojanový 
 • stupne teploty: 1000 W / 2000 W 
 • ventilátor: áno 
 • zdroj svetla: LED 
 • termostat: mechanický 
 • materiál: plast 
 • N/A: 30 m² 
 • hlučnosť: 50 dB(A) 
 • vhodný aj do kúpeľne: nie 
 • dĺžka napájacieho kábla: 1,6 m 
 • napájanie: 230 V~  / 50 Hz 
 • rozmery: 39,5 x 56,5 x 23 cm 
 • hmotnosť: 5,2 kg 
 • ďalšie informácie: Výrobok nie je vhodný na osvetlenie miestností v domácnosti! Výrobok je určený výlučne na vykurovanie dobre izolovaných miestností alebo na príležitostné používanie!</t>
        </is>
      </c>
    </row>
    <row r="530">
      <c r="A530" s="3" t="inlineStr">
        <is>
          <t>FKK 04</t>
        </is>
      </c>
      <c r="B530" s="2" t="inlineStr">
        <is>
          <t>Panoramatický elektrický krb</t>
        </is>
      </c>
      <c r="C530" s="1" t="n">
        <v>246.9</v>
      </c>
      <c r="D530" s="7" t="n">
        <f>HYPERLINK("https://www.somogyi.sk/product/panoramaticky-elektricky-krb-fkk-04-16938","https://www.somogyi.sk/product/panoramaticky-elektricky-krb-fkk-04-16938")</f>
        <v>0.0</v>
      </c>
      <c r="E530" s="7" t="n">
        <f>HYPERLINK("https://www.somogyi.sk/productimages/product_main_images/small/16938.jpg","https://www.somogyi.sk/productimages/product_main_images/small/16938.jpg")</f>
        <v>0.0</v>
      </c>
      <c r="F530" s="2" t="inlineStr">
        <is>
          <t>5999084949709</t>
        </is>
      </c>
      <c r="G530" s="4" t="inlineStr">
        <is>
          <t xml:space="preserve"> • umiestnenie: stojanový 
 • stupne teploty: 925 W / 1850 W 
 • ventilátor: áno 
 • stupne svetelných efektov: priebežná regulácia 
 • zdroj svetla: 4 W LED 
 • termostat: mechanický 
 • N/A: 28 m² 
 • hlučnosť: 50 dB(A) 
 • vhodný aj do kúpeľne: nie 
 • dĺžka napájacieho kábla: 1,6 m 
 • napájanie: 230 V~  / 50 Hz 
 • rozmery: 63,5 x 67 x 36 cm 
 • hmotnosť: 12 kg 
 • ďalšie informácie: Tento výrobok nie je vhodný na osvetlenie miestností v domácnosti!</t>
        </is>
      </c>
    </row>
    <row r="531">
      <c r="A531" s="3" t="inlineStr">
        <is>
          <t>FKK 14</t>
        </is>
      </c>
      <c r="B531" s="2" t="inlineStr">
        <is>
          <t>Elektrický krb</t>
        </is>
      </c>
      <c r="C531" s="1" t="n">
        <v>287.9</v>
      </c>
      <c r="D531" s="7" t="n">
        <f>HYPERLINK("https://www.somogyi.sk/product/elektricky-krb-fkk-14-16936","https://www.somogyi.sk/product/elektricky-krb-fkk-14-16936")</f>
        <v>0.0</v>
      </c>
      <c r="E531" s="7" t="n">
        <f>HYPERLINK("https://www.somogyi.sk/productimages/product_main_images/small/16936.jpg","https://www.somogyi.sk/productimages/product_main_images/small/16936.jpg")</f>
        <v>0.0</v>
      </c>
      <c r="F531" s="2" t="inlineStr">
        <is>
          <t>5999084949686</t>
        </is>
      </c>
      <c r="G531" s="4" t="inlineStr">
        <is>
          <t xml:space="preserve"> • umiestnenie: stojanový 
 • stupne teploty: 1000 W / 2000 W 
 • ventilátor: áno 
 • zdroj svetla: LED (5 W) 
 • termostat: mechanický 
 • N/A: 30 m² 
 • hlučnosť: 50 dB(A) 
 • vhodný aj do kúpeľne: nie 
 • dĺžka napájacieho kábla: 1,6 m 
 • napájanie: 230 V~  / 50 Hz 
 • rozmery: D41 x 65 cm 
 • hmotnosť: 14 kg 
 • ďalšie informácie: Tento výrobok nie je vhodný na osvetlenie miestností v domácnosti!</t>
        </is>
      </c>
    </row>
    <row r="532">
      <c r="A532" s="3" t="inlineStr">
        <is>
          <t>FKKF 01</t>
        </is>
      </c>
      <c r="B532" s="2" t="inlineStr">
        <is>
          <t>BORA BORA biely rám pre krbovú vložku</t>
        </is>
      </c>
      <c r="C532" s="1" t="n">
        <v>210.9</v>
      </c>
      <c r="D532" s="7" t="n">
        <f>HYPERLINK("https://www.somogyi.sk/product/bora-bora-biely-ram-pre-krbovu-vlozku-fkkf-01-17866","https://www.somogyi.sk/product/bora-bora-biely-ram-pre-krbovu-vlozku-fkkf-01-17866")</f>
        <v>0.0</v>
      </c>
      <c r="E532" s="7" t="n">
        <f>HYPERLINK("https://www.somogyi.sk/productimages/product_main_images/small/17866.jpg","https://www.somogyi.sk/productimages/product_main_images/small/17866.jpg")</f>
        <v>0.0</v>
      </c>
      <c r="F532" s="2" t="inlineStr">
        <is>
          <t>5999084958886</t>
        </is>
      </c>
      <c r="G532" s="4" t="inlineStr">
        <is>
          <t xml:space="preserve"> • rozmery: 95 x 80 x 26,5 cm</t>
        </is>
      </c>
    </row>
    <row r="533">
      <c r="A533" s="3" t="inlineStr">
        <is>
          <t>FKK 07</t>
        </is>
      </c>
      <c r="B533" s="2" t="inlineStr">
        <is>
          <t>Elektrický krb, stojanový, čierna farba</t>
        </is>
      </c>
      <c r="C533" s="1" t="n">
        <v>106.9</v>
      </c>
      <c r="D533" s="7" t="n">
        <f>HYPERLINK("https://www.somogyi.sk/product/elektricky-krb-stojanovy-cierna-farba-fkk-07-17758","https://www.somogyi.sk/product/elektricky-krb-stojanovy-cierna-farba-fkk-07-17758")</f>
        <v>0.0</v>
      </c>
      <c r="E533" s="7" t="n">
        <f>HYPERLINK("https://www.somogyi.sk/productimages/product_main_images/small/17758.jpg","https://www.somogyi.sk/productimages/product_main_images/small/17758.jpg")</f>
        <v>0.0</v>
      </c>
      <c r="F533" s="2" t="inlineStr">
        <is>
          <t>5999084957803</t>
        </is>
      </c>
      <c r="G533" s="4" t="inlineStr">
        <is>
          <t xml:space="preserve"> • umiestnenie: stojanový 
 • diaľkový ovládač: nie 
 • stupne teploty: 2 stupne ohrievania: 600 W / 1200 W 
 •  
 • zdroj svetla: LED, 11 W, nevymeniteľný 
 • samostatne zapnuteľný plameňový efekt: áno 
 • termostat: mechanický 
 • N/A: 18 m² 
 • hlučnosť: 59 dB(A) 
 • vhodný aj do kúpeľne: nie 
 • dĺžka napájacieho kábla: 1,7 m 
 • napájanie: 230 V~ / 50 Hz 
 • rozmery: 31 x 53 x 18 cm 
 • hmotnosť: 6 kg 
 • ďalšie informácie: ochrana proti prepätiu</t>
        </is>
      </c>
    </row>
    <row r="534">
      <c r="A534" s="3" t="inlineStr">
        <is>
          <t>FKKI 06</t>
        </is>
      </c>
      <c r="B534" s="2" t="inlineStr">
        <is>
          <t>Zabudovateľný krb</t>
        </is>
      </c>
      <c r="C534" s="1" t="n">
        <v>341.9</v>
      </c>
      <c r="D534" s="7" t="n">
        <f>HYPERLINK("https://www.somogyi.sk/product/zabudovatelny-krb-fkki-06-17784","https://www.somogyi.sk/product/zabudovatelny-krb-fkki-06-17784")</f>
        <v>0.0</v>
      </c>
      <c r="E534" s="7" t="n">
        <f>HYPERLINK("https://www.somogyi.sk/productimages/product_main_images/small/17784.jpg","https://www.somogyi.sk/productimages/product_main_images/small/17784.jpg")</f>
        <v>0.0</v>
      </c>
      <c r="F534" s="2" t="inlineStr">
        <is>
          <t>5999084958060</t>
        </is>
      </c>
      <c r="G534" s="4" t="inlineStr">
        <is>
          <t xml:space="preserve"> • umiestnenie: zabudovateľný alebo montáž na stenu 
 • diaľkový ovládač: áno 
 • stupne teploty: 1000 W / 2000 W 
 • ventilátor: áno 
 • zdroj svetla: zabudovaný LED zdroj svetla (max 13 W, nedá sa vymeniť) 
 • programovateľné: áno 
 • termostat: elektronický termostat 
 • materiál: kov / sklo 
 • N/A: 30 m² 
 • hlučnosť: 50 dB(A) 
 • vhodný aj do kúpeľne: nie 
 • dĺžka napájacieho kábla: 1,5 m 
 • napájanie: 230 V~ / 50 Hz 
 • napájanie diaľkového ovládača: 2 x AAA batéria (nie je príslušenstvom) 
 • rozmery: 127 x 45 x 17 cm 
 • montážne rozmery: 118 x 43,5 cm 
 • hmotnosť: 23 kg</t>
        </is>
      </c>
    </row>
    <row r="535">
      <c r="A535" s="3" t="inlineStr">
        <is>
          <t>FKK BOLOGNA</t>
        </is>
      </c>
      <c r="B535" s="2" t="inlineStr">
        <is>
          <t>FKKF 03   FKKI 03</t>
        </is>
      </c>
      <c r="C535" s="1" t="n">
        <v>465.9</v>
      </c>
      <c r="D535" s="7" t="n">
        <f>HYPERLINK("https://www.somogyi.sk/product/fkkf-03-fkki-03-fkk-bologna-18058","https://www.somogyi.sk/product/fkkf-03-fkki-03-fkk-bologna-18058")</f>
        <v>0.0</v>
      </c>
      <c r="E535" s="7" t="n">
        <f>HYPERLINK("https://www.somogyi.sk/productimages/product_main_images/small/18058.jpg","https://www.somogyi.sk/productimages/product_main_images/small/18058.jpg")</f>
        <v>0.0</v>
      </c>
      <c r="F535" s="2" t="inlineStr">
        <is>
          <t>5999084960803</t>
        </is>
      </c>
      <c r="G535" s="4" t="inlineStr">
        <is>
          <t xml:space="preserve"> • umiestnenie: stojanový 
 • diaľkový ovládač: áno 
 • stupne teploty: 1000 W / 2000 W 
 • stupne svetelných efektov: 5 stupní 
 • zdroj svetla: LED 
 • samostatne zapnuteľný plameňový efekt: áno 
 • programovateľné: týždenný program / detekcia otvorenia okna 
 • N/A: 15 °C - 30 °C 
 • N/A: 30 m² 
 • hlučnosť: 50 dB(A) 
 • vhodný aj do kúpeľne: nie 
 • dĺžka napájacieho kábla: 1,5 m 
 • napájanie: 230 V~ / 50 Hz 
 • napájanie diaľkového ovládača: 2 x AAA batéria (nie je príslušenstvom) 
 • rozmery: 96,5 x 76,5 x 27,5 cm 
 • ďalšie informácie: obsah balíka: FKKF 03   FKKI 03</t>
        </is>
      </c>
    </row>
    <row r="536">
      <c r="A536" s="3" t="inlineStr">
        <is>
          <t>FKKF 03</t>
        </is>
      </c>
      <c r="B536" s="2" t="inlineStr">
        <is>
          <t>BOLOGNA svetlý sonoma buk rám pre krbovú vložku</t>
        </is>
      </c>
      <c r="C536" s="1" t="n">
        <v>303.9</v>
      </c>
      <c r="D536" s="7" t="n">
        <f>HYPERLINK("https://www.somogyi.sk/product/bologna-svetly-sonoma-buk-ram-pre-krbovu-vlozku-fkkf-03-17868","https://www.somogyi.sk/product/bologna-svetly-sonoma-buk-ram-pre-krbovu-vlozku-fkkf-03-17868")</f>
        <v>0.0</v>
      </c>
      <c r="E536" s="7" t="n">
        <f>HYPERLINK("https://www.somogyi.sk/productimages/product_main_images/small/17868.jpg","https://www.somogyi.sk/productimages/product_main_images/small/17868.jpg")</f>
        <v>0.0</v>
      </c>
      <c r="F536" s="2" t="inlineStr">
        <is>
          <t>5999084958909</t>
        </is>
      </c>
      <c r="G536" s="4" t="inlineStr">
        <is>
          <t xml:space="preserve"> • rozmery: 96,5 x 76,5 x 27,5 cm</t>
        </is>
      </c>
    </row>
    <row r="537">
      <c r="A537" s="3" t="inlineStr">
        <is>
          <t>FKK 10</t>
        </is>
      </c>
      <c r="B537" s="2" t="inlineStr">
        <is>
          <t>Elektrický panoramatický krb</t>
        </is>
      </c>
      <c r="C537" s="1" t="n">
        <v>462.9</v>
      </c>
      <c r="D537" s="7" t="n">
        <f>HYPERLINK("https://www.somogyi.sk/product/elektricky-panoramaticky-krb-fkk-10-17760","https://www.somogyi.sk/product/elektricky-panoramaticky-krb-fkk-10-17760")</f>
        <v>0.0</v>
      </c>
      <c r="E537" s="7" t="n">
        <f>HYPERLINK("https://www.somogyi.sk/productimages/product_main_images/small/17760.jpg","https://www.somogyi.sk/productimages/product_main_images/small/17760.jpg")</f>
        <v>0.0</v>
      </c>
      <c r="F537" s="2" t="inlineStr">
        <is>
          <t>5999084957827</t>
        </is>
      </c>
      <c r="G537" s="4" t="inlineStr">
        <is>
          <t xml:space="preserve"> • umiestnenie: nástenný, stojanový 
 • diaľkový ovládač: áno 
 • stupne teploty: 2 stupne ohrievania: 1000 W / 2000 W 
 • ventilátor: áno 
 • stupne svetelných efektov: 3 stupne (vysoká - stredná - nízka) 
 • zdroj svetla: LED, 5 W, nevymeniteľný 
 • samostatne zapnuteľný plameňový efekt: áno 
 • programovateľné: týždenný program 
 • termostat: elektronický termostat 
 • N/A: 15 °C - 30 °C 
 • N/A: 30 m² 
 • hlučnosť: 58 dB(A) 
 • vhodný aj do kúpeľne: nie 
 • dĺžka napájacieho kábla: 1,8 m 
 • napájanie: 230 V~ / 50 Hz 
 • napájanie diaľkového ovládača: 2 x AAA batéria (nie je príslušenstvom) 
 • rozmery: 112 x 45 x 30,5 cm 
 • hmotnosť: 26,7 kg 
 • ďalšie informácie: 8 režimov osvetlenia krbu / vypínateľné dekoračné osvetlenie / ochrana proti prehriatiu</t>
        </is>
      </c>
    </row>
    <row r="538">
      <c r="A538" s="3" t="inlineStr">
        <is>
          <t>FKK MILANO</t>
        </is>
      </c>
      <c r="B538" s="2" t="inlineStr">
        <is>
          <t>FKKF 02   FKKI 03</t>
        </is>
      </c>
      <c r="C538" s="1" t="n">
        <v>481.9</v>
      </c>
      <c r="D538" s="7" t="n">
        <f>HYPERLINK("https://www.somogyi.sk/product/fkkf-02-fkki-03-fkk-milano-18057","https://www.somogyi.sk/product/fkkf-02-fkki-03-fkk-milano-18057")</f>
        <v>0.0</v>
      </c>
      <c r="E538" s="7" t="n">
        <f>HYPERLINK("https://www.somogyi.sk/productimages/product_main_images/small/18057.jpg","https://www.somogyi.sk/productimages/product_main_images/small/18057.jpg")</f>
        <v>0.0</v>
      </c>
      <c r="F538" s="2" t="inlineStr">
        <is>
          <t>5999084960797</t>
        </is>
      </c>
      <c r="G538" s="4" t="inlineStr">
        <is>
          <t xml:space="preserve"> • umiestnenie: stojanový 
 • diaľkový ovládač: áno 
 • stupne teploty: 1000 W / 2000 W 
 • stupne svetelných efektov: 5 stupní 
 • zdroj svetla: LED 
 • samostatne zapnuteľný plameňový efekt: áno 
 • programovateľné: týždenný program / detekcia otvorenia okna 
 • N/A: 15 °C - 30 °C 
 • N/A: 30 m² 
 • hlučnosť: 50 dB(A) 
 • vhodný aj do kúpeľne: nie 
 • dĺžka napájacieho kábla: 1,5 m 
 • napájanie: 230 V~ / 50 Hz 
 • napájanie diaľkového ovládača: 2 x AAA batéria (nie je príslušenstvom) 
 • rozmery: 96,5 x 76,5 x 27,5 cm 
 • ďalšie informácie: obsah balíka: FKKF 02   FKKI 03</t>
        </is>
      </c>
    </row>
    <row r="539">
      <c r="A539" s="3" t="inlineStr">
        <is>
          <t>FKKF 04</t>
        </is>
      </c>
      <c r="B539" s="2" t="inlineStr">
        <is>
          <t>PALERMO freya dub moderný rám pre krbovú vložku</t>
        </is>
      </c>
      <c r="C539" s="1" t="n">
        <v>296.9</v>
      </c>
      <c r="D539" s="7" t="n">
        <f>HYPERLINK("https://www.somogyi.sk/product/palermo-freya-dub-moderny-ram-pre-krbovu-vlozku-fkkf-04-17869","https://www.somogyi.sk/product/palermo-freya-dub-moderny-ram-pre-krbovu-vlozku-fkkf-04-17869")</f>
        <v>0.0</v>
      </c>
      <c r="E539" s="7" t="n">
        <f>HYPERLINK("https://www.somogyi.sk/productimages/product_main_images/small/17869.jpg","https://www.somogyi.sk/productimages/product_main_images/small/17869.jpg")</f>
        <v>0.0</v>
      </c>
      <c r="F539" s="2" t="inlineStr">
        <is>
          <t>5999084958916</t>
        </is>
      </c>
      <c r="G539" s="4" t="inlineStr">
        <is>
          <t xml:space="preserve"> • rozmery: 92,5 x 76 x 25 cm</t>
        </is>
      </c>
    </row>
    <row r="540">
      <c r="A540" s="3" t="inlineStr">
        <is>
          <t>FKK 24</t>
        </is>
      </c>
      <c r="B540" s="2" t="inlineStr">
        <is>
          <t>Elektrický nástenný krb, s podstavcom</t>
        </is>
      </c>
      <c r="C540" s="1" t="n">
        <v>337.9</v>
      </c>
      <c r="D540" s="7" t="n">
        <f>HYPERLINK("https://www.somogyi.sk/product/elektricky-nastenny-krb-s-podstavcom-fkk-24-17759","https://www.somogyi.sk/product/elektricky-nastenny-krb-s-podstavcom-fkk-24-17759")</f>
        <v>0.0</v>
      </c>
      <c r="E540" s="7" t="n">
        <f>HYPERLINK("https://www.somogyi.sk/productimages/product_main_images/small/17759.jpg","https://www.somogyi.sk/productimages/product_main_images/small/17759.jpg")</f>
        <v>0.0</v>
      </c>
      <c r="F540" s="2" t="inlineStr">
        <is>
          <t>5999084957810</t>
        </is>
      </c>
      <c r="G540" s="4" t="inlineStr">
        <is>
          <t xml:space="preserve"> • umiestnenie: nástenný, stojanový 
 • diaľkový ovládač: áno 
 • stupne teploty: 2 stupne ohrievania: 900 W / 1800 W 
 • ventilátor: áno 
 • stupne svetelných efektov: 3 stupne (vysoká - stredná - nízka) 
 • zdroj svetla: LED, 5 W, nevymeniteľný 
 • samostatne zapnuteľný plameňový efekt: áno 
 • programovateľné: týždenný program 
 • termostat: elektronický termostat 
 • N/A: 15 °C - 30 °C 
 • materiál: kalené sklo 
 • N/A: 27 m² 
 • hlučnosť: 58 dB(A) 
 • vhodný aj do kúpeľne: nie 
 • dĺžka napájacieho kábla: 1,8 m 
 • napájanie: 230 V~ / 50 Hz 
 • napájanie diaľkového ovládača: 1 x 3 V CR 2025 batéria (je príslušenstvom) 
 • rozmery: montovaný na stenu: 107 x 43,5 x 13 cm • postavený na podstavec: 107 x 50 x 24 cm 
 • hmotnosť: 18,6 kg 
 • ďalšie informácie: ochrana proti prepätiu</t>
        </is>
      </c>
    </row>
    <row r="541">
      <c r="A541" s="6" t="inlineStr">
        <is>
          <t xml:space="preserve">   Vykurovanie, Odvlhčovanie / Keramický ohrievač</t>
        </is>
      </c>
      <c r="B541" s="6" t="inlineStr">
        <is>
          <t/>
        </is>
      </c>
      <c r="C541" s="6" t="inlineStr">
        <is>
          <t/>
        </is>
      </c>
      <c r="D541" s="6" t="inlineStr">
        <is>
          <t/>
        </is>
      </c>
      <c r="E541" s="6" t="inlineStr">
        <is>
          <t/>
        </is>
      </c>
      <c r="F541" s="6" t="inlineStr">
        <is>
          <t/>
        </is>
      </c>
      <c r="G541" s="6" t="inlineStr">
        <is>
          <t/>
        </is>
      </c>
    </row>
    <row r="542">
      <c r="A542" s="3" t="inlineStr">
        <is>
          <t>FK 29</t>
        </is>
      </c>
      <c r="B542" s="2" t="inlineStr">
        <is>
          <t>Keramický ohrievač</t>
        </is>
      </c>
      <c r="C542" s="1" t="n">
        <v>51.99</v>
      </c>
      <c r="D542" s="7" t="n">
        <f>HYPERLINK("https://www.somogyi.sk/product/keramicky-ohrievac-fk-29-15425","https://www.somogyi.sk/product/keramicky-ohrievac-fk-29-15425")</f>
        <v>0.0</v>
      </c>
      <c r="E542" s="7" t="n">
        <f>HYPERLINK("https://www.somogyi.sk/productimages/product_main_images/small/15425.jpg","https://www.somogyi.sk/productimages/product_main_images/small/15425.jpg")</f>
        <v>0.0</v>
      </c>
      <c r="F542" s="2" t="inlineStr">
        <is>
          <t>5999084934590</t>
        </is>
      </c>
      <c r="G542" s="4" t="inlineStr">
        <is>
          <t xml:space="preserve"> • umiestnenie: stojanový 
 • farba: čierna 
 • stupne teploty: 900 W / 1800 W 
 • len režim ventilátora: áno 
 • ochrana proti prehriatiu: áno 
 • automatické vypnutie v prípade prevrhnutia: áno 
 • termostat: áno 
 • oscilácia: 70° 
 • N/A: 27 m² 
 • vhodný aj do kúpeľne: nie 
 • hlučnosť: 50 dB(A) 
 • dĺžka napájacieho kábla: 1,45 m 
 • napájanie: 230 V~ / 50 Hz 
 • rozmery: 22 x 32 x 14,5 cm 
 • ďalšie informácie: Výrobok je určený výlučne na vykurovanie dobre izolovaných miestností alebo na príležitostné používanie!</t>
        </is>
      </c>
    </row>
    <row r="543">
      <c r="A543" s="3" t="inlineStr">
        <is>
          <t>FKF 65221</t>
        </is>
      </c>
      <c r="B543" s="2" t="inlineStr">
        <is>
          <t>Nástenný ventilátorový ohrievač</t>
        </is>
      </c>
      <c r="C543" s="1" t="n">
        <v>89.99</v>
      </c>
      <c r="D543" s="7" t="n">
        <f>HYPERLINK("https://www.somogyi.sk/product/nastenny-ventilatorovy-ohrievac-fkf-65221-16446","https://www.somogyi.sk/product/nastenny-ventilatorovy-ohrievac-fkf-65221-16446")</f>
        <v>0.0</v>
      </c>
      <c r="E543" s="7" t="n">
        <f>HYPERLINK("https://www.somogyi.sk/productimages/product_main_images/small/16446.jpg","https://www.somogyi.sk/productimages/product_main_images/small/16446.jpg")</f>
        <v>0.0</v>
      </c>
      <c r="F543" s="2" t="inlineStr">
        <is>
          <t>5999084944780</t>
        </is>
      </c>
      <c r="G543" s="4" t="inlineStr">
        <is>
          <t xml:space="preserve"> • umiestnenie: nástenný 
 • diaľkový ovládač: áno 
 • stupne teploty: 1100 W / 2200 W 
 • programovateľné: týždenný program / senzor otvorenia okna 
 • časovač vypnutia: 8 h 
 • len režim ventilátora: áno 
 • pohyb lamiel: áno 
 • termostat: áno 
 • N/A: 18 – 45 °C 
 • N/A: 33 m² 
 • vhodný aj do kúpeľne: nie 
 • hlučnosť: 60 dB(A) 
 • dĺžka napájacieho kábla: 1,5 m 
 • napájanie: 230 V~ / 50 Hz 
 • rozmery: 65 x 25 x 15 cm 
 • hmotnosť: 4,2 kg</t>
        </is>
      </c>
    </row>
    <row r="544">
      <c r="A544" s="3" t="inlineStr">
        <is>
          <t>FK 51</t>
        </is>
      </c>
      <c r="B544" s="2" t="inlineStr">
        <is>
          <t>Keramický ohrievač</t>
        </is>
      </c>
      <c r="C544" s="1" t="n">
        <v>31.99</v>
      </c>
      <c r="D544" s="7" t="n">
        <f>HYPERLINK("https://www.somogyi.sk/product/keramicky-ohrievac-fk-51-16934","https://www.somogyi.sk/product/keramicky-ohrievac-fk-51-16934")</f>
        <v>0.0</v>
      </c>
      <c r="E544" s="7" t="n">
        <f>HYPERLINK("https://www.somogyi.sk/productimages/product_main_images/small/16934.jpg","https://www.somogyi.sk/productimages/product_main_images/small/16934.jpg")</f>
        <v>0.0</v>
      </c>
      <c r="F544" s="2" t="inlineStr">
        <is>
          <t>5999084949662</t>
        </is>
      </c>
      <c r="G544" s="4" t="inlineStr">
        <is>
          <t xml:space="preserve"> • umiestnenie: stojanový 
 • farba: biela 
 • diaľkový ovládač: nie 
 • stupne teploty: 2 stupne ohrievania: 1000 / 1500 W 
 • časovač: nie 
 • len režim ventilátora: áno 
 • ionizátor: nie 
 • ochrana proti prehriatiu: áno 
 • automatické vypnutie v prípade prevrhnutia: áno 
 • termostat: áno 
 • oscilácia: 70° 
 • N/A: 23 m² 
 • vhodný aj do kúpeľne: nie 
 • hlučnosť: 50 dB(A) 
 • dĺžka napájacieho kábla: 1,3 m 
 • napájanie: 230 V~  / 50 Hz 
 • rozmery: 15 x 24 x 9 cm 
 • hmotnosť: 2,5 kg</t>
        </is>
      </c>
    </row>
    <row r="545">
      <c r="A545" s="3" t="inlineStr">
        <is>
          <t>FKF 54203</t>
        </is>
      </c>
      <c r="B545" s="2" t="inlineStr">
        <is>
          <t>Smart nástenný PTC ohrievač</t>
        </is>
      </c>
      <c r="C545" s="1" t="n">
        <v>92.99</v>
      </c>
      <c r="D545" s="7" t="n">
        <f>HYPERLINK("https://www.somogyi.sk/product/smart-nastenny-ptc-ohrievac-fkf-54203-17765","https://www.somogyi.sk/product/smart-nastenny-ptc-ohrievac-fkf-54203-17765")</f>
        <v>0.0</v>
      </c>
      <c r="E545" s="7" t="n">
        <f>HYPERLINK("https://www.somogyi.sk/productimages/product_main_images/small/17765.jpg","https://www.somogyi.sk/productimages/product_main_images/small/17765.jpg")</f>
        <v>0.0</v>
      </c>
      <c r="F545" s="2" t="inlineStr">
        <is>
          <t>5999084957872</t>
        </is>
      </c>
      <c r="G545" s="4" t="inlineStr">
        <is>
          <t xml:space="preserve"> • umiestnenie: nástenný 
 • farba: biela 
 • stupne teploty: 1000 W / 2000 W 
 • programovateľné: týždenný program / detekcia otvorenia okna 
 • časovač: 24 h časovač za- a vypnutia 
 • len režim ventilátora: áno 
 • pohyb lamiel: áno 
 • ochrana proti prehriatiu: áno 
 • termostat: áno 
 • N/A: 10 °C - 49 °C 
 • N/A: 30 m² 
 • hlučnosť: 56 dB(A) 
 • dĺžka napájacieho kábla: ~ 1,5 m 
 • napájanie: 230 V~ / 50 Hz 
 • napájanie diaľkového ovládača: CR 2025 gombíková batéria (je príslušenstvom) 
 • rozmery: 54 x 18,5 x 12 cm 
 • hmotnosť: 2,4 kg</t>
        </is>
      </c>
    </row>
    <row r="546">
      <c r="A546" s="3" t="inlineStr">
        <is>
          <t>FKF 59201</t>
        </is>
      </c>
      <c r="B546" s="2" t="inlineStr">
        <is>
          <t>Nástenný ventilátorový ohrievač, s programom stop</t>
        </is>
      </c>
      <c r="C546" s="1" t="n">
        <v>69.99</v>
      </c>
      <c r="D546" s="7" t="n">
        <f>HYPERLINK("https://www.somogyi.sk/product/nastenny-ventilatorovy-ohrievac-s-programom-stop-fkf-59201-16445","https://www.somogyi.sk/product/nastenny-ventilatorovy-ohrievac-s-programom-stop-fkf-59201-16445")</f>
        <v>0.0</v>
      </c>
      <c r="E546" s="7" t="n">
        <f>HYPERLINK("https://www.somogyi.sk/productimages/product_main_images/small/16445.jpg","https://www.somogyi.sk/productimages/product_main_images/small/16445.jpg")</f>
        <v>0.0</v>
      </c>
      <c r="F546" s="2" t="inlineStr">
        <is>
          <t>5999084944773</t>
        </is>
      </c>
      <c r="G546" s="4" t="inlineStr">
        <is>
          <t xml:space="preserve"> • umiestnenie: nástenný 
 • diaľkový ovládač: áno 
 • stupne teploty: 1000 W / 2000 W 
 • programovateľné: týždenný program / adaptívna regulácia zapnutia 
 • časovač vypnutia: 12 h 
 • len režim ventilátora: nie (pri dosiahnutí nastavenej teploty vypne sa aj ventilátor) 
 • pohyb lamiel: áno 
 • ochrana proti prehriatiu: áno 
 • termostat: áno 
 • N/A: 18 – 45 °C 
 • N/A: 30 m² 
 • vhodný aj do kúpeľne: nie 
 • hlučnosť: 60 dB(A) 
 • dĺžka napájacieho kábla: 1,7 m 
 • napájanie: 230 V~ / 50 Hz 
 • napájanie diaľkového ovládača: CR 2025 gombíková batéria (je príslušenstvom) 
 • rozmery: 54 x 20,5 x 12 cm 
 • hmotnosť: 2,5 kg</t>
        </is>
      </c>
    </row>
    <row r="547">
      <c r="A547" s="3" t="inlineStr">
        <is>
          <t>FKF 42201</t>
        </is>
      </c>
      <c r="B547" s="2" t="inlineStr">
        <is>
          <t>Nástenný ventilátorový ohrievač</t>
        </is>
      </c>
      <c r="C547" s="1" t="n">
        <v>51.99</v>
      </c>
      <c r="D547" s="7" t="n">
        <f>HYPERLINK("https://www.somogyi.sk/product/nastenny-ventilatorovy-ohrievac-fkf-42201-16448","https://www.somogyi.sk/product/nastenny-ventilatorovy-ohrievac-fkf-42201-16448")</f>
        <v>0.0</v>
      </c>
      <c r="E547" s="7" t="n">
        <f>HYPERLINK("https://www.somogyi.sk/productimages/product_main_images/small/16448.jpg","https://www.somogyi.sk/productimages/product_main_images/small/16448.jpg")</f>
        <v>0.0</v>
      </c>
      <c r="F547" s="2" t="inlineStr">
        <is>
          <t>5999084944803</t>
        </is>
      </c>
      <c r="G547" s="4" t="inlineStr">
        <is>
          <t xml:space="preserve"> • umiestnenie: nástenný 
 • diaľkový ovládač: áno 
 • stupne teploty: 1000 W / 2000 W 
 • programovateľné: týždenný program / senzor otvorenia okna 
 • časovač vypnutia: 8 h 
 • len režim ventilátora: áno 
 • pohyb lamiel: nie 
 • termostat: áno 
 • N/A: 18 – 45 °C 
 • N/A: 30 m² 
 • vhodný aj do kúpeľne: nie 
 • hlučnosť: 60 dB(A) 
 • dĺžka napájacieho kábla: 1,55 m 
 • napájanie: 230 V~ / 50 Hz 
 • rozmery: 42 x 16,5 x 11,5 cm 
 • hmotnosť: 1,8 kg</t>
        </is>
      </c>
    </row>
    <row r="548">
      <c r="A548" s="3" t="inlineStr">
        <is>
          <t>FK 30</t>
        </is>
      </c>
      <c r="B548" s="2" t="inlineStr">
        <is>
          <t>Prenosný ventilátorový ohrievač</t>
        </is>
      </c>
      <c r="C548" s="1" t="n">
        <v>38.99</v>
      </c>
      <c r="D548" s="7" t="n">
        <f>HYPERLINK("https://www.somogyi.sk/product/prenosny-ventilatorovy-ohrievac-fk-30-13569","https://www.somogyi.sk/product/prenosny-ventilatorovy-ohrievac-fk-30-13569")</f>
        <v>0.0</v>
      </c>
      <c r="E548" s="7" t="n">
        <f>HYPERLINK("https://www.somogyi.sk/productimages/product_main_images/small/13569.jpg","https://www.somogyi.sk/productimages/product_main_images/small/13569.jpg")</f>
        <v>0.0</v>
      </c>
      <c r="F548" s="2" t="inlineStr">
        <is>
          <t>5999084916213</t>
        </is>
      </c>
      <c r="G548" s="4" t="inlineStr">
        <is>
          <t xml:space="preserve"> • umiestnenie: voľne stojací 
 • farba: čierno - žltá 
 • stupne teploty: 1000 W / 2000 W 
 • len režim ventilátora: nie 
 •  
 • ochrana proti prehriatiu: áno 
 • automatické vypnutie v prípade prevrhnutia: nie 
 • termostat: áno 
 • N/A: 30 m² 
 • vhodný aj do kúpeľne: nie 
 • hlučnosť: 55 dB(A) 
 • dĺžka napájacieho kábla: 1,2 m 
 • napájanie: 230 V~  / 50 Hz 
 • rozmery: 17,5 x 20 x 18 cm 
 • hmotnosť: 3,4 kg 
 • ďalšie informácie: Výrobok je určený výlučne na vykurovanie dobre izolovaných miestností alebo na príležitostné používanie!</t>
        </is>
      </c>
    </row>
    <row r="549">
      <c r="A549" s="3" t="inlineStr">
        <is>
          <t>FKF 56202</t>
        </is>
      </c>
      <c r="B549" s="2" t="inlineStr">
        <is>
          <t>Nástenný ventilátorový ohrievač</t>
        </is>
      </c>
      <c r="C549" s="1" t="n">
        <v>68.99</v>
      </c>
      <c r="D549" s="7" t="n">
        <f>HYPERLINK("https://www.somogyi.sk/product/nastenny-ventilatorovy-ohrievac-fkf-56202-16447","https://www.somogyi.sk/product/nastenny-ventilatorovy-ohrievac-fkf-56202-16447")</f>
        <v>0.0</v>
      </c>
      <c r="E549" s="7" t="n">
        <f>HYPERLINK("https://www.somogyi.sk/productimages/product_main_images/small/16447.jpg","https://www.somogyi.sk/productimages/product_main_images/small/16447.jpg")</f>
        <v>0.0</v>
      </c>
      <c r="F549" s="2" t="inlineStr">
        <is>
          <t>5999084944797</t>
        </is>
      </c>
      <c r="G549" s="4" t="inlineStr">
        <is>
          <t xml:space="preserve"> • umiestnenie: nástenný 
 • diaľkový ovládač: áno 
 • stupne teploty: 1000 W / 2000 W 
 • programovateľné: týždenný program / senzor otvorenia okna 
 • časovač vypnutia: 8 h 
 • len režim ventilátora: áno 
 • pohyb lamiel: áno 
 • termostat: áno 
 • N/A: 18 – 45 °C 
 • N/A: 30 m² 
 • vhodný aj do kúpeľne: nie 
 • hlučnosť: 55 dB(A) 
 • dĺžka napájacieho kábla: 1,55 m 
 • napájanie: 230 V~ / 50 Hz 
 • rozmery: 58,5 x 19,5 x 13 c 
 • hmotnosť: 3,1 kg</t>
        </is>
      </c>
    </row>
    <row r="550">
      <c r="A550" s="3" t="inlineStr">
        <is>
          <t>FK 52</t>
        </is>
      </c>
      <c r="B550" s="2" t="inlineStr">
        <is>
          <t>Stojanový keramický ohrievač</t>
        </is>
      </c>
      <c r="C550" s="1" t="n">
        <v>71.99</v>
      </c>
      <c r="D550" s="7" t="n">
        <f>HYPERLINK("https://www.somogyi.sk/product/stojanovy-keramicky-ohrievac-fk-52-17336","https://www.somogyi.sk/product/stojanovy-keramicky-ohrievac-fk-52-17336")</f>
        <v>0.0</v>
      </c>
      <c r="E550" s="7" t="n">
        <f>HYPERLINK("https://www.somogyi.sk/productimages/product_main_images/small/17336.jpg","https://www.somogyi.sk/productimages/product_main_images/small/17336.jpg")</f>
        <v>0.0</v>
      </c>
      <c r="F550" s="2" t="inlineStr">
        <is>
          <t>5999084953584</t>
        </is>
      </c>
      <c r="G550" s="4" t="inlineStr">
        <is>
          <t xml:space="preserve"> • umiestnenie: stojanový 
 • farba: biela 
 • stupne teploty: 1000 W / 2000 W 
 • časovač vypnutia: 15 h časovač vypnutia 
 • len režim ventilátora: áno 
 • ochrana proti prehriatiu: áno 
 • automatické vypnutie v prípade prevrhnutia: áno 
 • termostat: áno 
 • oscilácia: 70° 
 • N/A: 18-21-24-27 °C nastaviteľné hodnoty termostatu 
 • N/A: 30 m² 
 • vhodný aj do kúpeľne: nie 
 • hlučnosť: 55 dB(A) 
 • dĺžka napájacieho kábla: 1,3 m 
 • napájanie: 230 V~ / 50 Hz 
 • rozmery: 23 x 64 x 23 cm 
 • hmotnosť: 2,5 kg 
 • ďalšie informácie: IP ochrana IP20: žiadna ochrana pred vodou! (len na vnútorné použitie)</t>
        </is>
      </c>
    </row>
    <row r="551">
      <c r="A551" s="3" t="inlineStr">
        <is>
          <t>FKH 401</t>
        </is>
      </c>
      <c r="B551" s="2" t="inlineStr">
        <is>
          <t>Prenosný keramický ohrievač a plameňovým efektom</t>
        </is>
      </c>
      <c r="C551" s="1" t="n">
        <v>31.99</v>
      </c>
      <c r="D551" s="7" t="n">
        <f>HYPERLINK("https://www.somogyi.sk/product/prenosny-keramicky-ohrievac-a-plamenovym-efektom-fkh-401-17338","https://www.somogyi.sk/product/prenosny-keramicky-ohrievac-a-plamenovym-efektom-fkh-401-17338")</f>
        <v>0.0</v>
      </c>
      <c r="E551" s="7" t="n">
        <f>HYPERLINK("https://www.somogyi.sk/productimages/product_main_images/small/17338.jpg","https://www.somogyi.sk/productimages/product_main_images/small/17338.jpg")</f>
        <v>0.0</v>
      </c>
      <c r="F551" s="2" t="inlineStr">
        <is>
          <t>5999084953607</t>
        </is>
      </c>
      <c r="G551" s="4" t="inlineStr">
        <is>
          <t xml:space="preserve"> • stupne teploty: 400 V 
 • časovač vypnutia: 12 h 
 • len režim ventilátora: áno 
 • ochrana proti prehriatiu: áno 
 • termostat: elektronický 
 • N/A: 15 °C - 45 °C 
 • N/A: 6 m² 
 • vhodný aj do kúpeľne: nie 
 • hlučnosť: 58 dB(A) 
 • napájanie: 230 V~ / 50 Hz 
 • rozmery: 9,5 x 18,5 x 7 cm</t>
        </is>
      </c>
    </row>
    <row r="552">
      <c r="A552" s="3" t="inlineStr">
        <is>
          <t>ST-22-240-E</t>
        </is>
      </c>
      <c r="B552" s="2" t="inlineStr">
        <is>
          <t>STANLEY PTC ohrievač</t>
        </is>
      </c>
      <c r="C552" s="1" t="n">
        <v>55.99</v>
      </c>
      <c r="D552" s="7" t="n">
        <f>HYPERLINK("https://www.somogyi.sk/product/stanley-ptc-ohrievac-st-22-240-e-17043","https://www.somogyi.sk/product/stanley-ptc-ohrievac-st-22-240-e-17043")</f>
        <v>0.0</v>
      </c>
      <c r="E552" s="7" t="n">
        <f>HYPERLINK("https://www.somogyi.sk/productimages/product_main_images/small/17043.jpg","https://www.somogyi.sk/productimages/product_main_images/small/17043.jpg")</f>
        <v>0.0</v>
      </c>
      <c r="F552" s="2" t="inlineStr">
        <is>
          <t>0657888162216</t>
        </is>
      </c>
      <c r="G552" s="4" t="inlineStr">
        <is>
          <t xml:space="preserve"> • umiestnenie: stojanový 
 • stupne teploty: 1000 W / 2000 W 
 • len režim ventilátora: áno 
 • ochrana proti prehriatiu: áno 
 • termostat: mechanický 
 • N/A: 30 m² 
 • napájanie: 230 V ~/ 50 Hz 
 • rozmery: 20 x 29 x 27,5 cm 
 • ďalšie informácie: kovový kryt, PTC vykurovacie teleso</t>
        </is>
      </c>
    </row>
    <row r="553">
      <c r="A553" s="3" t="inlineStr">
        <is>
          <t>FKH 400</t>
        </is>
      </c>
      <c r="B553" s="2" t="inlineStr">
        <is>
          <t>Prenosný keramický ohrievač</t>
        </is>
      </c>
      <c r="C553" s="1" t="n">
        <v>23.99</v>
      </c>
      <c r="D553" s="7" t="n">
        <f>HYPERLINK("https://www.somogyi.sk/product/prenosny-keramicky-ohrievac-fkh-400-16935","https://www.somogyi.sk/product/prenosny-keramicky-ohrievac-fkh-400-16935")</f>
        <v>0.0</v>
      </c>
      <c r="E553" s="7" t="n">
        <f>HYPERLINK("https://www.somogyi.sk/productimages/product_main_images/small/16935.jpg","https://www.somogyi.sk/productimages/product_main_images/small/16935.jpg")</f>
        <v>0.0</v>
      </c>
      <c r="F553" s="2" t="inlineStr">
        <is>
          <t>5999084949679</t>
        </is>
      </c>
      <c r="G553" s="4" t="inlineStr">
        <is>
          <t xml:space="preserve"> • stupne teploty: 400 W 
 • časovač vypnutia: 12 h 
 • len režim ventilátora: áno 
 • ochrana proti prehriatiu: áno 
 • termostat: elektronický 
 • N/A: 15 °C - 45 °C 
 • N/A: 6 m² 
 • vhodný aj do kúpeľne: nie 
 • hlučnosť: 56 db(A) 
 • napájanie: 230 V~  / 50 Hz 
 • rozmery: 9 x 17 x 8,5 cm 
 • ďalšie informácie: keramické vyhrievacie teleso</t>
        </is>
      </c>
    </row>
    <row r="554">
      <c r="A554" s="3" t="inlineStr">
        <is>
          <t>FK 53 WIFI</t>
        </is>
      </c>
      <c r="B554" s="2" t="inlineStr">
        <is>
          <t>Smart stojanový keramický ohrievač</t>
        </is>
      </c>
      <c r="C554" s="1" t="n">
        <v>94.99</v>
      </c>
      <c r="D554" s="7" t="n">
        <f>HYPERLINK("https://www.somogyi.sk/product/smart-stojanovy-keramicky-ohrievac-fk-53-wifi-17337","https://www.somogyi.sk/product/smart-stojanovy-keramicky-ohrievac-fk-53-wifi-17337")</f>
        <v>0.0</v>
      </c>
      <c r="E554" s="7" t="n">
        <f>HYPERLINK("https://www.somogyi.sk/productimages/product_main_images/small/17337.jpg","https://www.somogyi.sk/productimages/product_main_images/small/17337.jpg")</f>
        <v>0.0</v>
      </c>
      <c r="F554" s="2" t="inlineStr">
        <is>
          <t>5999084953591</t>
        </is>
      </c>
      <c r="G554" s="4" t="inlineStr">
        <is>
          <t xml:space="preserve"> • umiestnenie: stojanový 
 • diaľkový ovládač: áno 
 • stupne teploty: 1000 W / 2000 W 
 • časovač vypnutia: 12 h časovač vypnutia 
 • ochrana proti prehriatiu: áno 
 • automatické vypnutie v prípade prevrhnutia: áno 
 • termostat: 15-45 °C 
 • oscilácia: áno 
 • N/A: 15-45 °C 
 • N/A: 30 m² 
 • vhodný aj do kúpeľne: nie 
 • hlučnosť: 60 dB(A) 
 • dĺžka napájacieho kábla: 1,4 m 
 • napájanie: 230 V~ / 50 Hz 
 • rozmery: 23 x 56 x 15 cm 
 • hmotnosť: 2 kg 
 • ďalšie informácie: IP ochrana IP20: žiadna ochrana pred vodou! (len na vnútorné použitie) / frekvencia prenosu WIFI: 2,4 GHz</t>
        </is>
      </c>
    </row>
    <row r="555">
      <c r="A555" s="6" t="inlineStr">
        <is>
          <t xml:space="preserve">   Vykurovanie, Odvlhčovanie / Infražiarič, ohrievač, vyhrievacia vložka</t>
        </is>
      </c>
      <c r="B555" s="6" t="inlineStr">
        <is>
          <t/>
        </is>
      </c>
      <c r="C555" s="6" t="inlineStr">
        <is>
          <t/>
        </is>
      </c>
      <c r="D555" s="6" t="inlineStr">
        <is>
          <t/>
        </is>
      </c>
      <c r="E555" s="6" t="inlineStr">
        <is>
          <t/>
        </is>
      </c>
      <c r="F555" s="6" t="inlineStr">
        <is>
          <t/>
        </is>
      </c>
      <c r="G555" s="6" t="inlineStr">
        <is>
          <t/>
        </is>
      </c>
    </row>
    <row r="556">
      <c r="A556" s="3" t="inlineStr">
        <is>
          <t>FK 23</t>
        </is>
      </c>
      <c r="B556" s="2" t="inlineStr">
        <is>
          <t>Halogénový ohrievač</t>
        </is>
      </c>
      <c r="C556" s="1" t="n">
        <v>45.99</v>
      </c>
      <c r="D556" s="7" t="n">
        <f>HYPERLINK("https://www.somogyi.sk/product/halogenovy-ohrievac-fk-23-14753","https://www.somogyi.sk/product/halogenovy-ohrievac-fk-23-14753")</f>
        <v>0.0</v>
      </c>
      <c r="E556" s="7" t="n">
        <f>HYPERLINK("https://www.somogyi.sk/productimages/product_main_images/small/14753.jpg","https://www.somogyi.sk/productimages/product_main_images/small/14753.jpg")</f>
        <v>0.0</v>
      </c>
      <c r="F556" s="2" t="inlineStr">
        <is>
          <t>5999084927936</t>
        </is>
      </c>
      <c r="G556" s="4" t="inlineStr">
        <is>
          <t xml:space="preserve"> • stupne ohrievania / výkon: 400 W / 800 W / 1200 W 
 • N/A: 18 m² 
 • vhodný aj do kúpeľne: nie 
 • IP stupeň ochrany: IP20 
 • automatické vypnutie v prípade prevrhnutia: áno 
 • oscilácia: áno 
 • typ vyhrievacej vložky: FK 23/T 
 • dĺžka napájacieho kábla: 1,25 m 
 • napájanie: 230 V~  / 50 Hz 
 • rozmery: 30 x 70 x 30 cm 
 • hmotnosť: 1,9 kg 
 • poznámka: halogénový ohrievač</t>
        </is>
      </c>
    </row>
    <row r="557">
      <c r="A557" s="3" t="inlineStr">
        <is>
          <t>FK 231</t>
        </is>
      </c>
      <c r="B557" s="2" t="inlineStr">
        <is>
          <t>Halogénový ohrievač, stojanový, max. 1200 W</t>
        </is>
      </c>
      <c r="C557" s="1" t="n">
        <v>33.99</v>
      </c>
      <c r="D557" s="7" t="n">
        <f>HYPERLINK("https://www.somogyi.sk/product/halogenovy-ohrievac-stojanovy-max-1200-w-fk-231-18275","https://www.somogyi.sk/product/halogenovy-ohrievac-stojanovy-max-1200-w-fk-231-18275")</f>
        <v>0.0</v>
      </c>
      <c r="E557" s="7" t="n">
        <f>HYPERLINK("https://www.somogyi.sk/productimages/product_main_images/small/18275.jpg","https://www.somogyi.sk/productimages/product_main_images/small/18275.jpg")</f>
        <v>0.0</v>
      </c>
      <c r="F557" s="2" t="inlineStr">
        <is>
          <t>5999084962975</t>
        </is>
      </c>
      <c r="G557" s="4" t="inlineStr">
        <is>
          <t xml:space="preserve"> • stupne ohrievania / výkon: 400 W / 800 W / 1200 W 
 • N/A: 18 m² 
 • IP stupeň ochrany: IP20 
 • automatické vypnutie v prípade prevrhnutia: áno 
 • oscilácia: áno 
 • napájanie: 230 V~ / 50 Hz 
 • rozmery: 30 x 70 x 30 cm 
 • hmotnosť: 1,9 kg</t>
        </is>
      </c>
    </row>
    <row r="558">
      <c r="A558" s="3" t="inlineStr">
        <is>
          <t>FK 231/T</t>
        </is>
      </c>
      <c r="B558" s="2" t="inlineStr">
        <is>
          <t>Vyhrievacia vložka k FK 23</t>
        </is>
      </c>
      <c r="C558" s="1" t="n">
        <v>3.19</v>
      </c>
      <c r="D558" s="7" t="n">
        <f>HYPERLINK("https://www.somogyi.sk/product/vyhrievacia-vlozka-k-fk-23-fk-231-t-18276","https://www.somogyi.sk/product/vyhrievacia-vlozka-k-fk-23-fk-231-t-18276")</f>
        <v>0.0</v>
      </c>
      <c r="E558" s="7" t="n">
        <f>HYPERLINK("https://www.somogyi.sk/productimages/product_main_images/small/18276.jpg","https://www.somogyi.sk/productimages/product_main_images/small/18276.jpg")</f>
        <v>0.0</v>
      </c>
      <c r="F558" s="2" t="inlineStr">
        <is>
          <t>5999084962982</t>
        </is>
      </c>
      <c r="G558" s="4" t="inlineStr">
        <is>
          <t xml:space="preserve"> • stupne ohrievania / výkon: 400 W 
 • napájanie: 230 V~ / 50 Hz 
 • rozmery: 160 mm</t>
        </is>
      </c>
    </row>
    <row r="559">
      <c r="A559" s="3" t="inlineStr">
        <is>
          <t>FK 252</t>
        </is>
      </c>
      <c r="B559" s="2" t="inlineStr">
        <is>
          <t>Kombinovaný karbónový a halogénový ohrievač</t>
        </is>
      </c>
      <c r="C559" s="1" t="n">
        <v>152.9</v>
      </c>
      <c r="D559" s="7" t="n">
        <f>HYPERLINK("https://www.somogyi.sk/product/kombinovany-karbonovy-a-halogenovy-ohrievac-fk-252-16930","https://www.somogyi.sk/product/kombinovany-karbonovy-a-halogenovy-ohrievac-fk-252-16930")</f>
        <v>0.0</v>
      </c>
      <c r="E559" s="7" t="n">
        <f>HYPERLINK("https://www.somogyi.sk/productimages/product_main_images/small/16930.jpg","https://www.somogyi.sk/productimages/product_main_images/small/16930.jpg")</f>
        <v>0.0</v>
      </c>
      <c r="F559" s="2" t="inlineStr">
        <is>
          <t>5999084949624</t>
        </is>
      </c>
      <c r="G559" s="4" t="inlineStr">
        <is>
          <t xml:space="preserve"> • umiestnenie: stojanový 
 • stupne ohrievania / výkon: 1200 W 
 • diaľkový ovládač: áno 
 • N/A: 18 m² 
 • vhodný aj do kúpeľne: áno 
 • časovač: 6 h časovač vypnutia 
 • IP stupeň ochrany: IPX4 
 • automatické vypnutie v prípade prevrhnutia: áno 
 • oscilácia: áno 
 • dĺžka napájacieho kábla: 1,4 m 
 • napájanie: 230 V~  / 50 Hz 
 • rozmery: ∅27 x 86 cm 
 • hmotnosť: 4,5 kg 
 • poznámka: halogénová a karbónová vyhrievacia vložka</t>
        </is>
      </c>
    </row>
    <row r="560">
      <c r="A560" s="3" t="inlineStr">
        <is>
          <t>FKTW 501</t>
        </is>
      </c>
      <c r="B560" s="2" t="inlineStr">
        <is>
          <t>Elektrický sušiak uterákov, 500 W</t>
        </is>
      </c>
      <c r="C560" s="1" t="n">
        <v>155.9</v>
      </c>
      <c r="D560" s="7" t="n">
        <f>HYPERLINK("https://www.somogyi.sk/product/elektricky-susiak-uterakov-500-w-fktw-501-17361","https://www.somogyi.sk/product/elektricky-susiak-uterakov-500-w-fktw-501-17361")</f>
        <v>0.0</v>
      </c>
      <c r="E560" s="7" t="n">
        <f>HYPERLINK("https://www.somogyi.sk/productimages/product_main_images/small/17361.jpg","https://www.somogyi.sk/productimages/product_main_images/small/17361.jpg")</f>
        <v>0.0</v>
      </c>
      <c r="F560" s="2" t="inlineStr">
        <is>
          <t>5999084953836</t>
        </is>
      </c>
      <c r="G560" s="4" t="inlineStr">
        <is>
          <t xml:space="preserve"> • termostat: elektronický termostat 
 • N/A: 5 °C - 29 °C 
 • N/A: 8 m² 
 • vhodný aj do kúpeľne: áno 
 • časovač: áno 
 • IP stupeň ochrany: IP24 
 • dĺžka napájacieho kábla: 1,5 m 
 • napájanie: 230 V~ / 50 Hz 
 • rozmery: 54 x 98 x 9,2 cm 
 • hmotnosť: 3,5 kg 
 • ďalšie informácie: senzor otvorenia okna / detská zámka 
 • displej: LCD 
 • stupne teploty: 500 W 
 • umiestnenie: nástenný 
 • funkcia ochrany pred mrazom (+5 °C): áno 
 • ochrana proti prehriatiu: áno</t>
        </is>
      </c>
    </row>
    <row r="561">
      <c r="A561" s="3" t="inlineStr">
        <is>
          <t>FK 24/T</t>
        </is>
      </c>
      <c r="B561" s="2" t="inlineStr">
        <is>
          <t>Vyhrievacia vložka k FK 24, 600  W</t>
        </is>
      </c>
      <c r="C561" s="1" t="n">
        <v>3.09</v>
      </c>
      <c r="D561" s="7" t="n">
        <f>HYPERLINK("https://www.somogyi.sk/product/vyhrievacia-vlozka-k-fk-24-600-w-fk-24-t-13572","https://www.somogyi.sk/product/vyhrievacia-vlozka-k-fk-24-600-w-fk-24-t-13572")</f>
        <v>0.0</v>
      </c>
      <c r="E561" s="7" t="n">
        <f>HYPERLINK("https://www.somogyi.sk/productimages/product_main_images/small/13572.jpg","https://www.somogyi.sk/productimages/product_main_images/small/13572.jpg")</f>
        <v>0.0</v>
      </c>
      <c r="F561" s="2" t="inlineStr">
        <is>
          <t>5999084916244</t>
        </is>
      </c>
      <c r="G561" s="4" t="inlineStr">
        <is>
          <t xml:space="preserve"> • stupne ohrievania / výkon: 600 W 
 • IP stupeň ochrany: IPX4 
 • automatické vypnutie v prípade prevrhnutia: nie 
 • oscilácia: nie 
 • napájanie: 230 V~ 
 • rozmery: 42 cm 
 • poznámka: k prístroju FK 24</t>
        </is>
      </c>
    </row>
    <row r="562">
      <c r="A562" s="3" t="inlineStr">
        <is>
          <t>FKT 22CM</t>
        </is>
      </c>
      <c r="B562" s="2" t="inlineStr">
        <is>
          <t>Vyhrievacia vložka, 22cm, 400W</t>
        </is>
      </c>
      <c r="C562" s="1" t="n">
        <v>3.39</v>
      </c>
      <c r="D562" s="7" t="n">
        <f>HYPERLINK("https://www.somogyi.sk/product/vyhrievacia-vlozka-22cm-400w-fkt-22cm-9908","https://www.somogyi.sk/product/vyhrievacia-vlozka-22cm-400w-fkt-22cm-9908")</f>
        <v>0.0</v>
      </c>
      <c r="E562" s="7" t="n">
        <f>HYPERLINK("https://www.somogyi.sk/productimages/product_main_images/small/09908.jpg","https://www.somogyi.sk/productimages/product_main_images/small/09908.jpg")</f>
        <v>0.0</v>
      </c>
      <c r="F562" s="2" t="inlineStr">
        <is>
          <t>5998312786277</t>
        </is>
      </c>
      <c r="G562" s="4" t="inlineStr">
        <is>
          <t xml:space="preserve"> • stupne ohrievania / výkon: 400 W 
 • IP stupeň ochrany: nie 
 • automatické vypnutie v prípade prevrhnutia: nie 
 • oscilácia: nie 
 • napájanie: 230 V~ 
 • rozmery: 22 cm 
 • poznámka: k prístrojom FK 5, FK 16</t>
        </is>
      </c>
    </row>
    <row r="563">
      <c r="A563" s="3" t="inlineStr">
        <is>
          <t>FK 272</t>
        </is>
      </c>
      <c r="B563" s="2" t="inlineStr">
        <is>
          <t>Quartzový vonkajší ohrievač</t>
        </is>
      </c>
      <c r="C563" s="1" t="n">
        <v>94.99</v>
      </c>
      <c r="D563" s="7" t="n">
        <f>HYPERLINK("https://www.somogyi.sk/product/quartzovy-vonkajsi-ohrievac-fk-272-16933","https://www.somogyi.sk/product/quartzovy-vonkajsi-ohrievac-fk-272-16933")</f>
        <v>0.0</v>
      </c>
      <c r="E563" s="7" t="n">
        <f>HYPERLINK("https://www.somogyi.sk/productimages/product_main_images/small/16933.jpg","https://www.somogyi.sk/productimages/product_main_images/small/16933.jpg")</f>
        <v>0.0</v>
      </c>
      <c r="F563" s="2" t="inlineStr">
        <is>
          <t>5999084949655</t>
        </is>
      </c>
      <c r="G563" s="4" t="inlineStr">
        <is>
          <t xml:space="preserve"> • umiestnenie: stojanový 
 • stupne ohrievania / výkon: 650 W / 1350 W / 2000 W 
 • diaľkový ovládač: 30 m² 
 • IP stupeň ochrany: IPX4 
 • automatické vypnutie v prípade prevrhnutia: áno 
 • dĺžka napájacieho kábla: 1,8 m 
 • napájanie: 230 V~  / 50 Hz 
 • rozmery: ∅50 x 177-205 cm 
 • hmotnosť: 8 kg</t>
        </is>
      </c>
    </row>
    <row r="564">
      <c r="A564" s="3" t="inlineStr">
        <is>
          <t>FK 21</t>
        </is>
      </c>
      <c r="B564" s="2" t="inlineStr">
        <is>
          <t>Halogénový ohrievač</t>
        </is>
      </c>
      <c r="C564" s="1" t="n">
        <v>33.99</v>
      </c>
      <c r="D564" s="7" t="n">
        <f>HYPERLINK("https://www.somogyi.sk/product/halogenovy-ohrievac-fk-21-14754","https://www.somogyi.sk/product/halogenovy-ohrievac-fk-21-14754")</f>
        <v>0.0</v>
      </c>
      <c r="E564" s="7" t="n">
        <f>HYPERLINK("https://www.somogyi.sk/productimages/product_main_images/small/14754.jpg","https://www.somogyi.sk/productimages/product_main_images/small/14754.jpg")</f>
        <v>0.0</v>
      </c>
      <c r="F564" s="2" t="inlineStr">
        <is>
          <t>5999084927943</t>
        </is>
      </c>
      <c r="G564" s="4" t="inlineStr">
        <is>
          <t xml:space="preserve"> • stupne ohrievania / výkon: 400 W / 800 W / 1200 W 
 • N/A: 18 m² 
 • vhodný aj do kúpeľne: nie 
 • IP stupeň ochrany: IP20 
 • automatické vypnutie v prípade prevrhnutia: áno 
 • oscilácia: áno 
 • typ vyhrievacej vložky: FK 21/T 
 • dĺžka napájacieho kábla: 1,1 m 
 • napájanie: 230 V~  / 50 Hz 
 • rozmery: 36 x 52 x 26 cm 
 • hmotnosť: 1,5 kg 
 • poznámka: halogénový ohrievač</t>
        </is>
      </c>
    </row>
    <row r="565">
      <c r="A565" s="3" t="inlineStr">
        <is>
          <t>FK 23/T</t>
        </is>
      </c>
      <c r="B565" s="2" t="inlineStr">
        <is>
          <t>Vyhrievacia vložka k FK 23-hoz, 400W</t>
        </is>
      </c>
      <c r="C565" s="1" t="n">
        <v>3.19</v>
      </c>
      <c r="D565" s="7" t="n">
        <f>HYPERLINK("https://www.somogyi.sk/product/vyhrievacia-vlozka-k-fk-23-hoz-400w-fk-23-t-14906","https://www.somogyi.sk/product/vyhrievacia-vlozka-k-fk-23-hoz-400w-fk-23-t-14906")</f>
        <v>0.0</v>
      </c>
      <c r="E565" s="7" t="n">
        <f>HYPERLINK("https://www.somogyi.sk/productimages/product_main_images/small/14906.jpg","https://www.somogyi.sk/productimages/product_main_images/small/14906.jpg")</f>
        <v>0.0</v>
      </c>
      <c r="F565" s="2" t="inlineStr">
        <is>
          <t>5999084929435</t>
        </is>
      </c>
      <c r="G565" s="4" t="inlineStr">
        <is>
          <t xml:space="preserve"> • stupne ohrievania / výkon: 400 W 
 • IP stupeň ochrany: nie 
 • automatické vypnutie v prípade prevrhnutia: nie 
 • napájanie: 230 V~ 
 • rozmery: 16,3 cm 
 • poznámka: halogénová vložka, k zariadeniu FK 23</t>
        </is>
      </c>
    </row>
    <row r="566">
      <c r="A566" s="3" t="inlineStr">
        <is>
          <t>FK 231</t>
        </is>
      </c>
      <c r="B566" s="2" t="inlineStr">
        <is>
          <t>Halogénový ohrievač, stojanový, max. 1200 W</t>
        </is>
      </c>
      <c r="C566" s="1" t="n">
        <v>36.99</v>
      </c>
      <c r="D566" s="7" t="n">
        <f>HYPERLINK("https://www.somogyi.sk/product/halogenovy-ohrievac-stojanovy-max-1200-w-fk-231-18275","https://www.somogyi.sk/product/halogenovy-ohrievac-stojanovy-max-1200-w-fk-231-18275")</f>
        <v>0.0</v>
      </c>
      <c r="E566" s="7" t="n">
        <f>HYPERLINK("https://www.somogyi.sk/productimages/product_main_images/small/18275.jpg","https://www.somogyi.sk/productimages/product_main_images/small/18275.jpg")</f>
        <v>0.0</v>
      </c>
      <c r="F566" s="2" t="inlineStr">
        <is>
          <t>5999084962975</t>
        </is>
      </c>
      <c r="G566" s="4" t="inlineStr">
        <is>
          <t xml:space="preserve"> • stupne ohrievania / výkon: 400 W / 800 W / 1200 W 
 • N/A: 18 m² 
 • IP stupeň ochrany: IP20 
 • automatické vypnutie v prípade prevrhnutia: áno 
 • oscilácia: áno 
 • napájanie: 230 V~ / 50 Hz 
 • rozmery: 30 x 70 x 30 cm 
 • hmotnosť: 1,9 kg</t>
        </is>
      </c>
    </row>
    <row r="567">
      <c r="A567" s="3" t="inlineStr">
        <is>
          <t>FK 272/T</t>
        </is>
      </c>
      <c r="B567" s="2" t="inlineStr">
        <is>
          <t>Vyhrievacia vložka do FK 272</t>
        </is>
      </c>
      <c r="C567" s="1" t="n">
        <v>3.49</v>
      </c>
      <c r="D567" s="7" t="n">
        <f>HYPERLINK("https://www.somogyi.sk/product/vyhrievacia-vlozka-do-fk-272-fk-272-t-18012","https://www.somogyi.sk/product/vyhrievacia-vlozka-do-fk-272-fk-272-t-18012")</f>
        <v>0.0</v>
      </c>
      <c r="E567" s="7" t="n">
        <f>HYPERLINK("https://www.somogyi.sk/productimages/product_main_images/small/18012.jpg","https://www.somogyi.sk/productimages/product_main_images/small/18012.jpg")</f>
        <v>0.0</v>
      </c>
      <c r="F567" s="2" t="inlineStr">
        <is>
          <t>5999084960346</t>
        </is>
      </c>
      <c r="G567" s="4" t="inlineStr">
        <is>
          <t xml:space="preserve"> • napájanie: 230 V~ / 50 Hz 
 • sila: 650 W 
 • veľkosť: 35 cm</t>
        </is>
      </c>
    </row>
    <row r="568">
      <c r="A568" s="3" t="inlineStr">
        <is>
          <t>FTW 2</t>
        </is>
      </c>
      <c r="B568" s="2" t="inlineStr">
        <is>
          <t>Vykurovaný, elektrický sušiak terákov</t>
        </is>
      </c>
      <c r="C568" s="1" t="n">
        <v>74.99</v>
      </c>
      <c r="D568" s="7" t="n">
        <f>HYPERLINK("https://www.somogyi.sk/product/vykurovany-elektricky-susiak-terakov-ftw-2-15985","https://www.somogyi.sk/product/vykurovany-elektricky-susiak-terakov-ftw-2-15985")</f>
        <v>0.0</v>
      </c>
      <c r="E568" s="7" t="n">
        <f>HYPERLINK("https://www.somogyi.sk/productimages/product_main_images/small/15985.jpg","https://www.somogyi.sk/productimages/product_main_images/small/15985.jpg")</f>
        <v>0.0</v>
      </c>
      <c r="F568" s="2" t="inlineStr">
        <is>
          <t>5999084940195</t>
        </is>
      </c>
      <c r="G568" s="4" t="inlineStr">
        <is>
          <t xml:space="preserve"> • umiestnenie: nástenný, stojanový 
 • stupne ohrievania / výkon: 100 W 
 • IP stupeň ochrany: IPX1 
 • dĺžka napájacieho kábla: 1,5 m 
 • napájanie: 230 V~ 
 • rozmery: montovaný na stenu: 54 x 86 x 10,2 cm / s postavcom: 54 x 91 x 35,3 cm 
 • hmotnosť: 2 kg 
 • poznámka: 6 tyčí na uteráky</t>
        </is>
      </c>
    </row>
    <row r="569">
      <c r="A569" s="3" t="inlineStr">
        <is>
          <t>FK 24</t>
        </is>
      </c>
      <c r="B569" s="2" t="inlineStr">
        <is>
          <t>Quartzový ohrievač</t>
        </is>
      </c>
      <c r="C569" s="1" t="n">
        <v>29.99</v>
      </c>
      <c r="D569" s="7" t="n">
        <f>HYPERLINK("https://www.somogyi.sk/product/quartzovy-ohrievac-fk-24-13571","https://www.somogyi.sk/product/quartzovy-ohrievac-fk-24-13571")</f>
        <v>0.0</v>
      </c>
      <c r="E569" s="7" t="n">
        <f>HYPERLINK("https://www.somogyi.sk/productimages/product_main_images/small/13571.jpg","https://www.somogyi.sk/productimages/product_main_images/small/13571.jpg")</f>
        <v>0.0</v>
      </c>
      <c r="F569" s="2" t="inlineStr">
        <is>
          <t>5999084916237</t>
        </is>
      </c>
      <c r="G569" s="4" t="inlineStr">
        <is>
          <t xml:space="preserve"> • stupne ohrievania / výkon: 600 W / 1200 W 
 • N/A: 18 m² 
 • vhodný aj do kúpeľne: áno 
 • IP stupeň ochrany: IPX4 
 • automatické vypnutie v prípade prevrhnutia: nie 
 • oscilácia: nie 
 • typ vyhrievacej vložky: FK 24/T 
 • dĺžka napájacieho kábla: 1,4 m 
 • napájanie: 230 V~  / 50 Hz 
 • rozmery: 53,5 x 13 x 11 cm 
 • hmotnosť: 1,2 kg 
 • poznámka: infražiarič</t>
        </is>
      </c>
    </row>
    <row r="570">
      <c r="A570" s="3" t="inlineStr">
        <is>
          <t>FK 21/T</t>
        </is>
      </c>
      <c r="B570" s="2" t="inlineStr">
        <is>
          <t>Vyhrievacia vložka pre FK 21</t>
        </is>
      </c>
      <c r="C570" s="1" t="n">
        <v>3.19</v>
      </c>
      <c r="D570" s="7" t="n">
        <f>HYPERLINK("https://www.somogyi.sk/product/vyhrievacia-vlozka-pre-fk-21-fk-21-t-14907","https://www.somogyi.sk/product/vyhrievacia-vlozka-pre-fk-21-fk-21-t-14907")</f>
        <v>0.0</v>
      </c>
      <c r="E570" s="7" t="n">
        <f>HYPERLINK("https://www.somogyi.sk/productimages/product_main_images/small/14907.jpg","https://www.somogyi.sk/productimages/product_main_images/small/14907.jpg")</f>
        <v>0.0</v>
      </c>
      <c r="F570" s="2" t="inlineStr">
        <is>
          <t>5999084929442</t>
        </is>
      </c>
      <c r="G570" s="4" t="inlineStr">
        <is>
          <t xml:space="preserve"> • stupne ohrievania / výkon: 400 W 
 • IP stupeň ochrany: nie 
 • automatické vypnutie v prípade prevrhnutia: nie 
 • napájanie: 230 V~ 
 • rozmery: 19,5 cm 
 • poznámka: halogénová vložka, k zariadeniu FK 21</t>
        </is>
      </c>
    </row>
    <row r="571">
      <c r="A571" s="3" t="inlineStr">
        <is>
          <t>FK 231/T</t>
        </is>
      </c>
      <c r="B571" s="2" t="inlineStr">
        <is>
          <t>Vyhrievacia vložka k FK 23</t>
        </is>
      </c>
      <c r="C571" s="1" t="n">
        <v>2.79</v>
      </c>
      <c r="D571" s="7" t="n">
        <f>HYPERLINK("https://www.somogyi.sk/product/vyhrievacia-vlozka-k-fk-23-fk-231-t-18276","https://www.somogyi.sk/product/vyhrievacia-vlozka-k-fk-23-fk-231-t-18276")</f>
        <v>0.0</v>
      </c>
      <c r="E571" s="7" t="n">
        <f>HYPERLINK("https://www.somogyi.sk/productimages/product_main_images/small/18276.jpg","https://www.somogyi.sk/productimages/product_main_images/small/18276.jpg")</f>
        <v>0.0</v>
      </c>
      <c r="F571" s="2" t="inlineStr">
        <is>
          <t>5999084962982</t>
        </is>
      </c>
      <c r="G571" s="4" t="inlineStr">
        <is>
          <t xml:space="preserve"> • stupne ohrievania / výkon: 400 W 
 • napájanie: 230 V~ / 50 Hz 
 • rozmery: 160 mm</t>
        </is>
      </c>
    </row>
    <row r="572">
      <c r="A572" s="3" t="inlineStr">
        <is>
          <t>FKTW 502</t>
        </is>
      </c>
      <c r="B572" s="2" t="inlineStr">
        <is>
          <t>Elektrický sušiak uterákov, 500 W</t>
        </is>
      </c>
      <c r="C572" s="1" t="n">
        <v>173.9</v>
      </c>
      <c r="D572" s="7" t="n">
        <f>HYPERLINK("https://www.somogyi.sk/product/elektricky-susiak-uterakov-500-w-fktw-502-17362","https://www.somogyi.sk/product/elektricky-susiak-uterakov-500-w-fktw-502-17362")</f>
        <v>0.0</v>
      </c>
      <c r="E572" s="7" t="n">
        <f>HYPERLINK("https://www.somogyi.sk/productimages/product_main_images/small/17362.jpg","https://www.somogyi.sk/productimages/product_main_images/small/17362.jpg")</f>
        <v>0.0</v>
      </c>
      <c r="F572" s="2" t="inlineStr">
        <is>
          <t>5999084953843</t>
        </is>
      </c>
      <c r="G572" s="4" t="inlineStr">
        <is>
          <t xml:space="preserve"> • termostat: elektronický termostat 
 • N/A: 5 °C - 29 °C 
 • diaľkový ovládač: diaľkový ovládač s LCD displejom 
 • N/A: 8 m² 
 • vhodný aj do kúpeľne: áno 
 • časovač: áno 
 • IP stupeň ochrany: IP24 
 • dĺžka napájacieho kábla: 1,5 m 
 • napájanie: 230 V~ / 50 Hz 
 • rozmery: 50 x 101 x 11 cm 
 • hmotnosť: 5,4 kg 
 • ďalšie informácie: senzor otvorenia okna / detská zámka 
 • stupne teploty: 500 W 
 • umiestnenie: nástenný 
 • funkcia ochrany pred mrazom (+5 °C): áno 
 • ochrana proti prehriatiu: áno</t>
        </is>
      </c>
    </row>
    <row r="573">
      <c r="A573" s="3" t="inlineStr">
        <is>
          <t>FK 25</t>
        </is>
      </c>
      <c r="B573" s="2" t="inlineStr">
        <is>
          <t>Karbónový nástenný ohrievač</t>
        </is>
      </c>
      <c r="C573" s="1" t="n">
        <v>74.99</v>
      </c>
      <c r="D573" s="7" t="n">
        <f>HYPERLINK("https://www.somogyi.sk/product/karbonovy-nastenny-ohrievac-fk-25-16931","https://www.somogyi.sk/product/karbonovy-nastenny-ohrievac-fk-25-16931")</f>
        <v>0.0</v>
      </c>
      <c r="E573" s="7" t="n">
        <f>HYPERLINK("https://www.somogyi.sk/productimages/product_main_images/small/16931.jpg","https://www.somogyi.sk/productimages/product_main_images/small/16931.jpg")</f>
        <v>0.0</v>
      </c>
      <c r="F573" s="2" t="inlineStr">
        <is>
          <t>5999084949631</t>
        </is>
      </c>
      <c r="G573" s="4" t="inlineStr">
        <is>
          <t xml:space="preserve"> • umiestnenie: nástenný 
 • stupne ohrievania / výkon: 600 W / 1200 W 
 • N/A: 18 m² 
 • vhodný aj do kúpeľne: áno 
 • IP stupeň ochrany: IPX4 
 • dĺžka napájacieho kábla: 1,5 m 
 • napájanie: 230 V~  / 50 Hz 
 • rozmery: 74,5 x 10 x 20 cm 
 • hmotnosť: 2 kg 
 • poznámka: karbónové vyhrievacie teleso 
 • ďalšie informácie: ohrievač je možné ovládať šnúrovým spínačom (dĺžka: 50 cm): 0. vypnutý stav, 1. nízky stupeň ohrevu (600 W), 2. vysoký stupeň ohrevu (1200 W) • čísla stupňov sú viditeľné v malom okienku na zariadení</t>
        </is>
      </c>
    </row>
    <row r="574">
      <c r="A574" s="3" t="inlineStr">
        <is>
          <t>FKT 42CM</t>
        </is>
      </c>
      <c r="B574" s="2" t="inlineStr">
        <is>
          <t>Vyhrievacia vložka, 42 cm, 600W</t>
        </is>
      </c>
      <c r="C574" s="1" t="n">
        <v>3.99</v>
      </c>
      <c r="D574" s="7" t="n">
        <f>HYPERLINK("https://www.somogyi.sk/product/vyhrievacia-vlozka-42-cm-600w-fkt-42cm-7333","https://www.somogyi.sk/product/vyhrievacia-vlozka-42-cm-600w-fkt-42cm-7333")</f>
        <v>0.0</v>
      </c>
      <c r="E574" s="7" t="n">
        <f>HYPERLINK("https://www.somogyi.sk/productimages/product_main_images/small/07333.jpg","https://www.somogyi.sk/productimages/product_main_images/small/07333.jpg")</f>
        <v>0.0</v>
      </c>
      <c r="F574" s="2" t="inlineStr">
        <is>
          <t>5998312763223</t>
        </is>
      </c>
      <c r="G574" s="4" t="inlineStr">
        <is>
          <t xml:space="preserve"> • stupne ohrievania / výkon: 600 W 
 • IP stupeň ochrany: nie 
 • automatické vypnutie v prípade prevrhnutia: nie 
 • oscilácia: nie 
 • napájanie: 230 V~ 
 • rozmery: 42 cm 
 • poznámka: k prístrojom FK 2,  FK 22</t>
        </is>
      </c>
    </row>
    <row r="575">
      <c r="A575" s="3" t="inlineStr">
        <is>
          <t>FTW 4</t>
        </is>
      </c>
      <c r="B575" s="2" t="inlineStr">
        <is>
          <t>Vykurovaný, elektrický sušiak uterákov</t>
        </is>
      </c>
      <c r="C575" s="1" t="n">
        <v>67.99</v>
      </c>
      <c r="D575" s="7" t="n">
        <f>HYPERLINK("https://www.somogyi.sk/product/vykurovany-elektricky-susiak-uterakov-ftw-4-16463","https://www.somogyi.sk/product/vykurovany-elektricky-susiak-uterakov-ftw-4-16463")</f>
        <v>0.0</v>
      </c>
      <c r="E575" s="7" t="n">
        <f>HYPERLINK("https://www.somogyi.sk/productimages/product_main_images/small/16463.jpg","https://www.somogyi.sk/productimages/product_main_images/small/16463.jpg")</f>
        <v>0.0</v>
      </c>
      <c r="F575" s="2" t="inlineStr">
        <is>
          <t>5999084944957</t>
        </is>
      </c>
      <c r="G575" s="4" t="inlineStr">
        <is>
          <t xml:space="preserve"> • umiestnenie: nástenný 
 • farba: biela 
 • stupne ohrievania / výkon: 90 W 
 • vhodný aj do kúpeľne: áno 
 • IP stupeň ochrany: IPX1 
 • napájanie: 230 V~ / 50 Hz 
 • rozmery: 60 x 44,5 x 9,5 cm 
 • hmotnosť: 2 kg 
 • automatické vypnutie: automatické vypnutie v prípade prehriatia 
 • ďalšie informácie: 5 tyčí na uteráky</t>
        </is>
      </c>
    </row>
    <row r="576">
      <c r="A576" s="3" t="inlineStr">
        <is>
          <t>FKT 24CM</t>
        </is>
      </c>
      <c r="B576" s="2" t="inlineStr">
        <is>
          <t>Vyhrievacia vložka, 24 cm, 400W</t>
        </is>
      </c>
      <c r="C576" s="1" t="n">
        <v>3.69</v>
      </c>
      <c r="D576" s="7" t="n">
        <f>HYPERLINK("https://www.somogyi.sk/product/vyhrievacia-vlozka-24-cm-400w-fkt-24cm-7334","https://www.somogyi.sk/product/vyhrievacia-vlozka-24-cm-400w-fkt-24cm-7334")</f>
        <v>0.0</v>
      </c>
      <c r="E576" s="7" t="n">
        <f>HYPERLINK("https://www.somogyi.sk/productimages/product_main_images/small/07334.jpg","https://www.somogyi.sk/productimages/product_main_images/small/07334.jpg")</f>
        <v>0.0</v>
      </c>
      <c r="F576" s="2" t="inlineStr">
        <is>
          <t>5998312763230</t>
        </is>
      </c>
      <c r="G576" s="4" t="inlineStr">
        <is>
          <t xml:space="preserve"> • stupne ohrievania / výkon: 400 W 
 • IP stupeň ochrany: nie 
 • automatické vypnutie v prípade prevrhnutia: nie 
 • oscilácia: nie 
 • napájanie: 230 V~ 
 • rozmery: 24 cm 
 • poznámka: k prístrojom FK 4, FK 6, FK 6/K</t>
        </is>
      </c>
    </row>
    <row r="577">
      <c r="A577" s="6" t="inlineStr">
        <is>
          <t xml:space="preserve">   Vykurovanie, Odvlhčovanie / Konvektor, elektrické vykurovacie teleso, ohrievač</t>
        </is>
      </c>
      <c r="B577" s="6" t="inlineStr">
        <is>
          <t/>
        </is>
      </c>
      <c r="C577" s="6" t="inlineStr">
        <is>
          <t/>
        </is>
      </c>
      <c r="D577" s="6" t="inlineStr">
        <is>
          <t/>
        </is>
      </c>
      <c r="E577" s="6" t="inlineStr">
        <is>
          <t/>
        </is>
      </c>
      <c r="F577" s="6" t="inlineStr">
        <is>
          <t/>
        </is>
      </c>
      <c r="G577" s="6" t="inlineStr">
        <is>
          <t/>
        </is>
      </c>
    </row>
    <row r="578">
      <c r="A578" s="3" t="inlineStr">
        <is>
          <t>FKIR 452</t>
        </is>
      </c>
      <c r="B578" s="2" t="inlineStr">
        <is>
          <t>Hybridný infra ohrievač, 450 W</t>
        </is>
      </c>
      <c r="C578" s="1" t="n">
        <v>211.9</v>
      </c>
      <c r="D578" s="7" t="n">
        <f>HYPERLINK("https://www.somogyi.sk/product/hybridny-infra-ohrievac-450-w-fkir-452-17762","https://www.somogyi.sk/product/hybridny-infra-ohrievac-450-w-fkir-452-17762")</f>
        <v>0.0</v>
      </c>
      <c r="E578" s="7" t="n">
        <f>HYPERLINK("https://www.somogyi.sk/productimages/product_main_images/small/17762.jpg","https://www.somogyi.sk/productimages/product_main_images/small/17762.jpg")</f>
        <v>0.0</v>
      </c>
      <c r="F578" s="2" t="inlineStr">
        <is>
          <t>5999084957841</t>
        </is>
      </c>
      <c r="G578" s="4" t="inlineStr">
        <is>
          <t xml:space="preserve"> • stupne teploty: 450 W 
 • IP stupeň ochrany: IP20 
 • umiestnenie: nástenné alebo stropné 
 • diaľkový ovládač: áno 
 • N/A: 0 °C - 70 °C 
 • vhodný aj do kúpeľne: nie 
 • časovač: týždenný program 
 • N/A: 7 m² 
 • zabudovaný ventilátor: nie 
 • ochrana proti prehriatiu: áno 
 • dĺžka napájacieho kábla: 1,6 m 
 • ďalšie informácie: detekcia otvorenia okna 
 • napájanie: 230 V~ / 50 Hz 
 • rozmery: 90 x 50 x 4 cm 
 • hmotnosť: 3,45 kg</t>
        </is>
      </c>
    </row>
    <row r="579">
      <c r="A579" s="3" t="inlineStr">
        <is>
          <t>FKIR 701 WIFI</t>
        </is>
      </c>
      <c r="B579" s="2" t="inlineStr">
        <is>
          <t>Hybridný infra ohrievač, 700 W</t>
        </is>
      </c>
      <c r="C579" s="1" t="n">
        <v>170.9</v>
      </c>
      <c r="D579" s="7" t="n">
        <f>HYPERLINK("https://www.somogyi.sk/product/hybridny-infra-ohrievac-700-w-fkir-701-wifi-17342","https://www.somogyi.sk/product/hybridny-infra-ohrievac-700-w-fkir-701-wifi-17342")</f>
        <v>0.0</v>
      </c>
      <c r="E579" s="7" t="n">
        <f>HYPERLINK("https://www.somogyi.sk/productimages/product_main_images/small/17342.jpg","https://www.somogyi.sk/productimages/product_main_images/small/17342.jpg")</f>
        <v>0.0</v>
      </c>
      <c r="F579" s="2" t="inlineStr">
        <is>
          <t>5999084953645</t>
        </is>
      </c>
      <c r="G579" s="4" t="inlineStr">
        <is>
          <t xml:space="preserve"> • stupne teploty: 700 W 
 • displej: LCD 
 • IP stupeň ochrany: IP20 
 • umiestnenie: nástenný 
 • termostat: elektronický termostat 
 • N/A: 0 °C - 37 °C 
 • vhodný aj do kúpeľne: nie 
 • časovač: áno 
 • N/A: 10 m² 
 • ochrana proti prehriatiu: áno 
 • dĺžka napájacieho kábla: 1,6 m 
 • ďalšie informácie: funkcia senzora otvorenia okna 
 • napájanie: 230 V~ / 50 Hz 
 • rozmery: 120 x 50 x 5,5 cm 
 • hmotnosť: 3,1 kg</t>
        </is>
      </c>
    </row>
    <row r="580">
      <c r="A580" s="3" t="inlineStr">
        <is>
          <t>FKIR 962</t>
        </is>
      </c>
      <c r="B580" s="2" t="inlineStr">
        <is>
          <t>Hybridný infra ohrievač, 960 W</t>
        </is>
      </c>
      <c r="C580" s="1" t="n">
        <v>310.9</v>
      </c>
      <c r="D580" s="7" t="n">
        <f>HYPERLINK("https://www.somogyi.sk/product/hybridny-infra-ohrievac-960-w-fkir-962-17764","https://www.somogyi.sk/product/hybridny-infra-ohrievac-960-w-fkir-962-17764")</f>
        <v>0.0</v>
      </c>
      <c r="E580" s="7" t="n">
        <f>HYPERLINK("https://www.somogyi.sk/productimages/product_main_images/small/17764.jpg","https://www.somogyi.sk/productimages/product_main_images/small/17764.jpg")</f>
        <v>0.0</v>
      </c>
      <c r="F580" s="2" t="inlineStr">
        <is>
          <t>5999084957865</t>
        </is>
      </c>
      <c r="G580" s="4" t="inlineStr">
        <is>
          <t xml:space="preserve"> • stupne teploty: 960 W 
 • IP stupeň ochrany: IP20 
 • umiestnenie: nástenné alebo stropné 
 • diaľkový ovládač: áno 
 • N/A: 0 °C - 70 °C 
 • vhodný aj do kúpeľne: nie 
 • časovač: týždenný program 
 • N/A: 14 m² 
 • zabudovaný ventilátor: nie 
 • ochrana proti prehriatiu: áno 
 • dĺžka napájacieho kábla: 1,6 m 
 • ďalšie informácie: detekcia otvorenia okna 
 • napájanie: 230 V~ / 50 Hz 
 • rozmery: 120 x 80 x 4 cm 
 • hmotnosť: 6,6 kg</t>
        </is>
      </c>
    </row>
    <row r="581">
      <c r="A581" s="3" t="inlineStr">
        <is>
          <t>FKA 200</t>
        </is>
      </c>
      <c r="B581" s="2" t="inlineStr">
        <is>
          <t>Nástenný ohrievač prémium, max. 2000 W</t>
        </is>
      </c>
      <c r="C581" s="1" t="n">
        <v>187.9</v>
      </c>
      <c r="D581" s="7" t="n">
        <f>HYPERLINK("https://www.somogyi.sk/product/nastenny-ohrievac-premium-max-2000-w-fka-200-17757","https://www.somogyi.sk/product/nastenny-ohrievac-premium-max-2000-w-fka-200-17757")</f>
        <v>0.0</v>
      </c>
      <c r="E581" s="7" t="n">
        <f>HYPERLINK("https://www.somogyi.sk/productimages/product_main_images/small/17757.jpg","https://www.somogyi.sk/productimages/product_main_images/small/17757.jpg")</f>
        <v>0.0</v>
      </c>
      <c r="F581" s="2" t="inlineStr">
        <is>
          <t>5999084957797</t>
        </is>
      </c>
      <c r="G581" s="4" t="inlineStr">
        <is>
          <t xml:space="preserve"> • stupne teploty: menovitý 2000 W 
 • displej: LCD 
 • umiestnenie: nástenný 
 • materiál: hliníková vyhrievacia vložka 
 • termostat: elektronický termostat 
 • N/A: 5 – 29 °C 
 • vhodný aj do kúpeľne: nie 
 • časovač: týždenný program 
 • N/A: 30 m² 
 • funkcia ochrany pred mrazom (+5 °C): áno 
 • ochrana proti prehriatiu: áno 
 • dĺžka napájacieho kábla: 1,5 m 
 • napájanie: 220 - 240 V~ / 50 Hz 
 • rozmery: 84 x 44 x 9,45 cm 
 • hmotnosť: 7,5 kg</t>
        </is>
      </c>
    </row>
    <row r="582">
      <c r="A582" s="3" t="inlineStr">
        <is>
          <t>FKA 150</t>
        </is>
      </c>
      <c r="B582" s="2" t="inlineStr">
        <is>
          <t>Nástenný ohrievač prémium, max. 1500 W</t>
        </is>
      </c>
      <c r="C582" s="1" t="n">
        <v>155.9</v>
      </c>
      <c r="D582" s="7" t="n">
        <f>HYPERLINK("https://www.somogyi.sk/product/nastenny-ohrievac-premium-max-1500-w-fka-150-17756","https://www.somogyi.sk/product/nastenny-ohrievac-premium-max-1500-w-fka-150-17756")</f>
        <v>0.0</v>
      </c>
      <c r="E582" s="7" t="n">
        <f>HYPERLINK("https://www.somogyi.sk/productimages/product_main_images/small/17756.jpg","https://www.somogyi.sk/productimages/product_main_images/small/17756.jpg")</f>
        <v>0.0</v>
      </c>
      <c r="F582" s="2" t="inlineStr">
        <is>
          <t>5999084957780</t>
        </is>
      </c>
      <c r="G582" s="4" t="inlineStr">
        <is>
          <t xml:space="preserve"> • stupne teploty: menovitý 1500 W 
 • displej: LCD 
 • umiestnenie: nástenný 
 • materiál: hliníková vyhrievacia vložka 
 • termostat: elektronický termostat 
 • N/A: 5 – 29 °C 
 • vhodný aj do kúpeľne: nie 
 • časovač: týždenný program 
 • N/A: 23 m² 
 • funkcia ochrany pred mrazom (+5 °C): áno 
 • ochrana proti prehriatiu: áno 
 • dĺžka napájacieho kábla: 1,5 m 
 • napájanie: 220 - 240 V~ / 50 Hz 
 • rozmery: 69 x 44 x 9,45 cm 
 • hmotnosť: 6,5 kg</t>
        </is>
      </c>
    </row>
    <row r="583">
      <c r="A583" s="3" t="inlineStr">
        <is>
          <t>FKA 70</t>
        </is>
      </c>
      <c r="B583" s="2" t="inlineStr">
        <is>
          <t>Nástenný ohrievač prémium, max. 700 W</t>
        </is>
      </c>
      <c r="C583" s="1" t="n">
        <v>115.9</v>
      </c>
      <c r="D583" s="7" t="n">
        <f>HYPERLINK("https://www.somogyi.sk/product/nastenny-ohrievac-premium-max-700-w-fka-70-17755","https://www.somogyi.sk/product/nastenny-ohrievac-premium-max-700-w-fka-70-17755")</f>
        <v>0.0</v>
      </c>
      <c r="E583" s="7" t="n">
        <f>HYPERLINK("https://www.somogyi.sk/productimages/product_main_images/small/17755.jpg","https://www.somogyi.sk/productimages/product_main_images/small/17755.jpg")</f>
        <v>0.0</v>
      </c>
      <c r="F583" s="2" t="inlineStr">
        <is>
          <t>5999084957773</t>
        </is>
      </c>
      <c r="G583" s="4" t="inlineStr">
        <is>
          <t xml:space="preserve"> • stupne teploty: menovitý 700 W 
 • displej: LCD 
 • umiestnenie: nástenný 
 • materiál: hliníková vyhrievacia vložka 
 • termostat: elektronický termostat 
 • N/A: 5 – 29 °C 
 • vhodný aj do kúpeľne: nie 
 • časovač: týždenný program 
 • N/A: 11 m² 
 • funkcia ochrany pred mrazom (+5 °C): áno 
 • ochrana proti prehriatiu: áno 
 • dĺžka napájacieho kábla: 1,5 m 
 • napájanie: 220 - 240 V~ / 50 Hz 
 • rozmery: 39 x 44 x 9,45 cm 
 • hmotnosť: 4,5 kg</t>
        </is>
      </c>
    </row>
    <row r="584">
      <c r="A584" s="3" t="inlineStr">
        <is>
          <t>FKA 100</t>
        </is>
      </c>
      <c r="B584" s="2" t="inlineStr">
        <is>
          <t>Nástenný ohrievač prémium, max. 1000 W</t>
        </is>
      </c>
      <c r="C584" s="1" t="n">
        <v>132.9</v>
      </c>
      <c r="D584" s="7" t="n">
        <f>HYPERLINK("https://www.somogyi.sk/product/nastenny-ohrievac-premium-max-1000-w-fka-100-17754","https://www.somogyi.sk/product/nastenny-ohrievac-premium-max-1000-w-fka-100-17754")</f>
        <v>0.0</v>
      </c>
      <c r="E584" s="7" t="n">
        <f>HYPERLINK("https://www.somogyi.sk/productimages/product_main_images/small/17754.jpg","https://www.somogyi.sk/productimages/product_main_images/small/17754.jpg")</f>
        <v>0.0</v>
      </c>
      <c r="F584" s="2" t="inlineStr">
        <is>
          <t>5999084957766</t>
        </is>
      </c>
      <c r="G584" s="4" t="inlineStr">
        <is>
          <t xml:space="preserve"> • stupne teploty: menovitý 1000 W 
 • displej: LCD 
 • umiestnenie: nástenný 
 • materiál: hliníková vyhrievacia vložka 
 • termostat: elektronický termostat 
 • N/A: 5 – 29 °C 
 • vhodný aj do kúpeľne: nie 
 • časovač: týždenný program 
 • N/A: 15 m² 
 • funkcia ochrany pred mrazom (+5 °C): áno 
 • ochrana proti prehriatiu: áno 
 • dĺžka napájacieho kábla: 1,5 m 
 • napájanie: 220 - 240 V~ / 50 Hz 
 • rozmery: 54 x 44 x 9,45 cm 
 • hmotnosť: 5,81 kg</t>
        </is>
      </c>
    </row>
    <row r="585">
      <c r="A585" s="3" t="inlineStr">
        <is>
          <t>FK 350 WIFI</t>
        </is>
      </c>
      <c r="B585" s="2" t="inlineStr">
        <is>
          <t>Smart elektrický konvektor</t>
        </is>
      </c>
      <c r="C585" s="1" t="n">
        <v>95.99</v>
      </c>
      <c r="D585" s="7" t="n">
        <f>HYPERLINK("https://www.somogyi.sk/product/smart-elektricky-konvektor-fk-350-wifi-16932","https://www.somogyi.sk/product/smart-elektricky-konvektor-fk-350-wifi-16932")</f>
        <v>0.0</v>
      </c>
      <c r="E585" s="7" t="n">
        <f>HYPERLINK("https://www.somogyi.sk/productimages/product_main_images/small/16932.jpg","https://www.somogyi.sk/productimages/product_main_images/small/16932.jpg")</f>
        <v>0.0</v>
      </c>
      <c r="F585" s="2" t="inlineStr">
        <is>
          <t>5999084949648</t>
        </is>
      </c>
      <c r="G585" s="4" t="inlineStr">
        <is>
          <t xml:space="preserve"> • wifi: áno (prevádzková frekvencia: 2,4 GHz) 
 • stupne teploty: 1000 W / 1300 W / 2300 W 
 • displej: LCD 
 • umiestnenie: stojanový 
 • termostat: elektronický 
 • N/A: 5 °C - 37 °C 
 • vhodný aj do kúpeľne: nie 
 • N/A: 35 m² 
 • funkcia ochrany pred mrazom (+5 °C): áno 
 • zabudovaný ventilátor: turbo ventilátor 
 • ochrana proti prehriatiu: áno 
 • dĺžka napájacieho kábla: 1,4 m 
 • hlučnosť: 56 db(A) 
 • napájanie: 230 V~  / 50 Hz 
 • rozmery: 68 x 41,5 x 18 cm 
 • hmotnosť: 4,5 kg</t>
        </is>
      </c>
    </row>
    <row r="586">
      <c r="A586" s="3" t="inlineStr">
        <is>
          <t>FK 330</t>
        </is>
      </c>
      <c r="B586" s="2" t="inlineStr">
        <is>
          <t>Elektrický konvektor</t>
        </is>
      </c>
      <c r="C586" s="1" t="n">
        <v>31.99</v>
      </c>
      <c r="D586" s="7" t="n">
        <f>HYPERLINK("https://www.somogyi.sk/product/elektricky-konvektor-fk-330-15971","https://www.somogyi.sk/product/elektricky-konvektor-fk-330-15971")</f>
        <v>0.0</v>
      </c>
      <c r="E586" s="7" t="n">
        <f>HYPERLINK("https://www.somogyi.sk/productimages/product_main_images/small/15971.jpg","https://www.somogyi.sk/productimages/product_main_images/small/15971.jpg")</f>
        <v>0.0</v>
      </c>
      <c r="F586" s="2" t="inlineStr">
        <is>
          <t>5999084940058</t>
        </is>
      </c>
      <c r="G586" s="4" t="inlineStr">
        <is>
          <t xml:space="preserve"> • stupne teploty: 750 W / 1250 W / 2000 W 
 • umiestnenie: stojanový 
 • termostat: áno 
 • vhodný aj do kúpeľne: nie 
 • N/A: 30 m² 
 • dĺžka napájacieho kábla: 1,6 m 
 • ďalšie informácie: Výrobok je určený výlučne na vykurovanie dobre izolovaných miestností alebo na príležitostné používanie! 
 • napájanie: 230 V~ / 50 Hz 
 • rozmery: 53 x 38 x 20 cm 
 • hmotnosť: 1,9 kg</t>
        </is>
      </c>
    </row>
    <row r="587">
      <c r="A587" s="3" t="inlineStr">
        <is>
          <t>FK 55</t>
        </is>
      </c>
      <c r="B587" s="2" t="inlineStr">
        <is>
          <t>Keramický ohrievač, digitálny termostat</t>
        </is>
      </c>
      <c r="C587" s="1" t="n">
        <v>34.99</v>
      </c>
      <c r="D587" s="7" t="n">
        <f>HYPERLINK("https://www.somogyi.sk/product/keramicky-ohrievac-digitalny-termostat-fk-55-18105","https://www.somogyi.sk/product/keramicky-ohrievac-digitalny-termostat-fk-55-18105")</f>
        <v>0.0</v>
      </c>
      <c r="E587" s="7" t="n">
        <f>HYPERLINK("https://www.somogyi.sk/productimages/product_main_images/small/18105.jpg","https://www.somogyi.sk/productimages/product_main_images/small/18105.jpg")</f>
        <v>0.0</v>
      </c>
      <c r="F587" s="2" t="inlineStr">
        <is>
          <t>5999084961275</t>
        </is>
      </c>
      <c r="G587" s="4" t="inlineStr">
        <is>
          <t xml:space="preserve"> • stupne teploty: 2 (1000 W / 1500 W) 
 • displej: LED 
 • umiestnenie: vnútorný • prenosný (obývacia izba, spálňa, detská izba) 
 • termostat: digitálny termostat 
 • N/A: 15-45°C 
 • vhodný aj do kúpeľne: nie 
 • časovač: 12 h časovač vypnutia 
 • N/A: 23 m² 
 • zabudovaný ventilátor: áno 
 • ochrana proti prehriatiu: áno 
 • N/A: áno 
 • hlučnosť: 55 dB(A) 
 • charakteristiky: zapínateľná oscilácia 
 • napájanie: 220-240 V~ / 50 Hz 
 • rozmery: 174 x 243 x 117 mm</t>
        </is>
      </c>
    </row>
    <row r="588">
      <c r="A588" s="3" t="inlineStr">
        <is>
          <t>FMC 1500</t>
        </is>
      </c>
      <c r="B588" s="2" t="inlineStr">
        <is>
          <t>MICA konvektor s diaľ. ovládačom, 1500 W</t>
        </is>
      </c>
      <c r="C588" s="1" t="n">
        <v>73.99</v>
      </c>
      <c r="D588" s="7" t="n">
        <f>HYPERLINK("https://www.somogyi.sk/product/mica-konvektor-s-dial-ovladacom-1500-w-fmc-1500-18062","https://www.somogyi.sk/product/mica-konvektor-s-dial-ovladacom-1500-w-fmc-1500-18062")</f>
        <v>0.0</v>
      </c>
      <c r="E588" s="7" t="n">
        <f>HYPERLINK("https://www.somogyi.sk/productimages/product_main_images/small/18062.jpg","https://www.somogyi.sk/productimages/product_main_images/small/18062.jpg")</f>
        <v>0.0</v>
      </c>
      <c r="F588" s="2" t="inlineStr">
        <is>
          <t>5999084960841</t>
        </is>
      </c>
      <c r="G588" s="4" t="inlineStr">
        <is>
          <t xml:space="preserve"> • stupne teploty: 2 stupne ohrievania: 1000 W / 1500 W 
 • displej: LED 
 • IP stupeň ochrany: IP20 
 • umiestnenie: vnútorný (obývacia izba, spálňa) 
 • termostat: digitálny termostat 
 • diaľkový ovládač: áno 
 • N/A: 0 °C - 37 °C 
 • vhodný aj do kúpeľne: nie 
 • časovač: 12 h časovač vypnutia (0,5 hodinové jednotky) 
 • N/A: 30 m² 
 • ochrana proti prehriatiu: áno 
 • N/A: áno 
 • hlučnosť: tichá prevádzka 
 •  
 • napájanie: 220-240 V~ / 50 Hz • diaľkový ovládač: 1 x 3 V(CR2025) gombíková batéria, je príslušenstvom 
 • rozmery: 450 x 62 x2 65 (80) mm 
 • hmotnosť: 4,5 kg</t>
        </is>
      </c>
    </row>
    <row r="589">
      <c r="A589" s="3" t="inlineStr">
        <is>
          <t>FKIR 722</t>
        </is>
      </c>
      <c r="B589" s="2" t="inlineStr">
        <is>
          <t>Hybridný infra ohrievač, 720 W</t>
        </is>
      </c>
      <c r="C589" s="1" t="n">
        <v>263.9</v>
      </c>
      <c r="D589" s="7" t="n">
        <f>HYPERLINK("https://www.somogyi.sk/product/hybridny-infra-ohrievac-720-w-fkir-722-17763","https://www.somogyi.sk/product/hybridny-infra-ohrievac-720-w-fkir-722-17763")</f>
        <v>0.0</v>
      </c>
      <c r="E589" s="7" t="n">
        <f>HYPERLINK("https://www.somogyi.sk/productimages/product_main_images/small/17763.jpg","https://www.somogyi.sk/productimages/product_main_images/small/17763.jpg")</f>
        <v>0.0</v>
      </c>
      <c r="F589" s="2" t="inlineStr">
        <is>
          <t>5999084957858</t>
        </is>
      </c>
      <c r="G589" s="4" t="inlineStr">
        <is>
          <t xml:space="preserve"> • stupne teploty: 720 W 
 • IP stupeň ochrany: IP20 
 • umiestnenie: nástenné alebo stropné 
 • diaľkový ovládač: áno 
 • N/A: 0 °C - 70 °C 
 • vhodný aj do kúpeľne: nie 
 • časovač: týždenný program 
 • N/A: 11 m² 
 • zabudovaný ventilátor: nie 
 • ochrana proti prehriatiu: áno 
 • dĺžka napájacieho kábla: 1,6 m 
 • ďalšie informácie: detekcia otvorenia okna 
 • napájanie: 230 V~ / 50 Hz 
 • rozmery: 120 x 60 x 4 cm 
 • hmotnosť: 5,1 kg</t>
        </is>
      </c>
    </row>
    <row r="590">
      <c r="A590" s="3" t="inlineStr">
        <is>
          <t>FK 410 WIFI</t>
        </is>
      </c>
      <c r="B590" s="2" t="inlineStr">
        <is>
          <t>Smart ohrievač</t>
        </is>
      </c>
      <c r="C590" s="1" t="n">
        <v>106.9</v>
      </c>
      <c r="D590" s="7" t="n">
        <f>HYPERLINK("https://www.somogyi.sk/product/smart-ohrievac-fk-410-wifi-16458","https://www.somogyi.sk/product/smart-ohrievac-fk-410-wifi-16458")</f>
        <v>0.0</v>
      </c>
      <c r="E590" s="7" t="n">
        <f>HYPERLINK("https://www.somogyi.sk/productimages/product_main_images/small/16458.jpg","https://www.somogyi.sk/productimages/product_main_images/small/16458.jpg")</f>
        <v>0.0</v>
      </c>
      <c r="F590" s="2" t="inlineStr">
        <is>
          <t>5999084944902</t>
        </is>
      </c>
      <c r="G590" s="4" t="inlineStr">
        <is>
          <t xml:space="preserve"> • wifi: áno 
 • stupne teploty: 500 W / 1000 W 
 • IP stupeň ochrany: IPX4 
 • umiestnenie: stojanový, nástenný 
 • materiál: kovová 
 • termostat: áno 
 • diaľkový ovládač: pomocou aplikácie cez WiFi 
 • N/A: 5 °C - 40 °C 
 • vhodný aj do kúpeľne: áno 
 • časovač: časovač vypnutia 
 • N/A: 15 m² 
 • dĺžka napájacieho kábla: 1,5 m 
 • ďalšie informácie: dotykové tlačidlá, detská zámka, tento výrobok je určený iba do dobre izolovaných priestorov alebo na príležitostné použitie! 
 • napájanie: 230 V~ / 50 Hz 
 • rozmery: s podstavcom: 60 x 43 x 24 cm / montovaný na stenu: 60 x 38 x 9 cm 
 • hmotnosť: 4,8 kg</t>
        </is>
      </c>
    </row>
    <row r="591">
      <c r="A591" s="3" t="inlineStr">
        <is>
          <t>FK 430 WIFI</t>
        </is>
      </c>
      <c r="B591" s="2" t="inlineStr">
        <is>
          <t>Smart ohrievač</t>
        </is>
      </c>
      <c r="C591" s="1" t="n">
        <v>128.9</v>
      </c>
      <c r="D591" s="7" t="n">
        <f>HYPERLINK("https://www.somogyi.sk/product/smart-ohrievac-fk-430-wifi-16460","https://www.somogyi.sk/product/smart-ohrievac-fk-430-wifi-16460")</f>
        <v>0.0</v>
      </c>
      <c r="E591" s="7" t="n">
        <f>HYPERLINK("https://www.somogyi.sk/productimages/product_main_images/small/16460.jpg","https://www.somogyi.sk/productimages/product_main_images/small/16460.jpg")</f>
        <v>0.0</v>
      </c>
      <c r="F591" s="2" t="inlineStr">
        <is>
          <t>5999084944926</t>
        </is>
      </c>
      <c r="G591" s="4" t="inlineStr">
        <is>
          <t xml:space="preserve"> • wifi: áno 
 • stupne teploty: 1000 W / 2000 W 
 • IP stupeň ochrany: IPX4 
 • umiestnenie: stojanový, nástenný 
 • materiál: predný panel z kaleného skla 
 • termostat: áno 
 • diaľkový ovládač: pomocou aplikácie cez WiFi 
 • N/A: 15 °C - 35 °C 
 • vhodný aj do kúpeľne: áno 
 • časovač: časovač vypnutia 
 • N/A: 30 m² 
 • dĺžka napájacieho kábla: 1,5 m 
 • ďalšie informácie: dotykové tlačidlá, detská zámka, tento výrobok je určený iba do dobre izolovaných priestorov alebo na príležitostné použitie! 
 • napájanie: 230 V~ / 50 Hz 
 • rozmery: s podstavcom: 92 x 43 x 24 cm / montovaný na stenu: 92 x 38 x 9 cm 
 • hmotnosť: 8,2 kg</t>
        </is>
      </c>
    </row>
    <row r="592">
      <c r="A592" s="3" t="inlineStr">
        <is>
          <t>FKM 450</t>
        </is>
      </c>
      <c r="B592" s="2" t="inlineStr">
        <is>
          <t>Ohrievač, ochrana proti zamrznutiu</t>
        </is>
      </c>
      <c r="C592" s="1" t="n">
        <v>25.99</v>
      </c>
      <c r="D592" s="7" t="n">
        <f>HYPERLINK("https://www.somogyi.sk/product/ohrievac-ochrana-proti-zamrznutiu-fkm-450-15980","https://www.somogyi.sk/product/ohrievac-ochrana-proti-zamrznutiu-fkm-450-15980")</f>
        <v>0.0</v>
      </c>
      <c r="E592" s="7" t="n">
        <f>HYPERLINK("https://www.somogyi.sk/productimages/product_main_images/small/15980.jpg","https://www.somogyi.sk/productimages/product_main_images/small/15980.jpg")</f>
        <v>0.0</v>
      </c>
      <c r="F592" s="2" t="inlineStr">
        <is>
          <t>5999084940140</t>
        </is>
      </c>
      <c r="G592" s="4" t="inlineStr">
        <is>
          <t xml:space="preserve"> • stupne teploty: 450 W 
 • umiestnenie: stojanový 
 • termostat: áno 
 • diaľkový ovládač: nie 
 • N/A: 7 m² 
 • funkcia ochrany pred mrazom (+5 °C): áno 
 • zabudovaný ventilátor: 5 °C - 30 °C 
 • dĺžka napájacieho kábla: 1,5 m 
 • ďalšie informácie: Výrobok je určený výlučne na vykurovanie dobre izolovaných miestností alebo na príležitostné používanie! 
 • napájanie: 230 V~ 
 • rozmery: 30 x 28,5 x 18 cm 
 • hmotnosť: 1 kg</t>
        </is>
      </c>
    </row>
    <row r="593">
      <c r="A593" s="3" t="inlineStr">
        <is>
          <t>FKIR 270 WIFI</t>
        </is>
      </c>
      <c r="B593" s="2" t="inlineStr">
        <is>
          <t>SMART infračervený ohrievač, 1000 w</t>
        </is>
      </c>
      <c r="C593" s="1" t="n">
        <v>383.9</v>
      </c>
      <c r="D593" s="7" t="n">
        <f>HYPERLINK("https://www.somogyi.sk/product/smart-infracerveny-ohrievac-1000-w-fkir-270-wifi-18066","https://www.somogyi.sk/product/smart-infracerveny-ohrievac-1000-w-fkir-270-wifi-18066")</f>
        <v>0.0</v>
      </c>
      <c r="E593" s="7" t="n">
        <f>HYPERLINK("https://www.somogyi.sk/productimages/product_main_images/small/18066.jpg","https://www.somogyi.sk/productimages/product_main_images/small/18066.jpg")</f>
        <v>0.0</v>
      </c>
      <c r="F593" s="2" t="inlineStr">
        <is>
          <t>5999084960889</t>
        </is>
      </c>
      <c r="G593" s="4" t="inlineStr">
        <is>
          <t xml:space="preserve"> • stupne teploty: 1000 W 
 • displej: LED 
 • IP stupeň ochrany: IP20 
 • umiestnenie: vnútorný • stojanový (obývacia izba, spálňa) 
 • termostat: digitálny termostat 
 • diaľkový ovládač: nie 
 • N/A: 0 °C - 37 °C 
 • vhodný aj do kúpeľne: nie 
 • časovač: 24 h časovač vypnutia(1 h jednotky) 
 • N/A: 15 m² 
 • ochrana proti prehriatiu: áno 
 • N/A: áno 
 • dĺžka napájacieho kábla: ∼16 cm 
 • charakteristiky: 270° uhol infračerveného žiarenia • povrchová teplota: ~90 °C 
 • napájanie: 220-240 V~ / 50 Hz 
 • rozmery: 30 x 110 x 30 cm 
 • hmotnosť: 18 kg</t>
        </is>
      </c>
    </row>
    <row r="594">
      <c r="A594" s="3" t="inlineStr">
        <is>
          <t>FK 54</t>
        </is>
      </c>
      <c r="B594" s="2" t="inlineStr">
        <is>
          <t>Stojanový keramický ohrievač s diaľ. ovládačom, 2000 W</t>
        </is>
      </c>
      <c r="C594" s="1" t="n">
        <v>54.99</v>
      </c>
      <c r="D594" s="7" t="n">
        <f>HYPERLINK("https://www.somogyi.sk/product/stojanovy-keramicky-ohrievac-s-dial-ovladacom-2000-w-fk-54-18064","https://www.somogyi.sk/product/stojanovy-keramicky-ohrievac-s-dial-ovladacom-2000-w-fk-54-18064")</f>
        <v>0.0</v>
      </c>
      <c r="E594" s="7" t="n">
        <f>HYPERLINK("https://www.somogyi.sk/productimages/product_main_images/small/18064.jpg","https://www.somogyi.sk/productimages/product_main_images/small/18064.jpg")</f>
        <v>0.0</v>
      </c>
      <c r="F594" s="2" t="inlineStr">
        <is>
          <t>5999084960865</t>
        </is>
      </c>
      <c r="G594" s="4" t="inlineStr">
        <is>
          <t xml:space="preserve"> • stupne teploty: 2 (1400 W / 2000 W) 
 • displej: LED 
 • umiestnenie: vnútorný • prenosný (obývacia izba, spálňa, detská izba) 
 • termostat: digitálny termostat 
 • diaľkový ovládač: áno 
 • N/A: 15-40°C 
 • vhodný aj do kúpeľne: nie 
 • časovač: 12 h časovač vypnutia 
 • N/A: 30 m² 
 • zabudovaný ventilátor: áno 
 • ochrana proti prehriatiu: áno 
 • N/A: áno 
 • hlučnosť: 60 dB(A) 
 • charakteristiky: zapínateľná oscilácia 
 • napájanie: 220-240 V~ / 50 Hz • diaľkový ovládač: 1x3 V (CR2025) gombíková batéria 
 • rozmery: Ø235 x 635 mm</t>
        </is>
      </c>
    </row>
    <row r="595">
      <c r="A595" s="3" t="inlineStr">
        <is>
          <t>FMC 2000</t>
        </is>
      </c>
      <c r="B595" s="2" t="inlineStr">
        <is>
          <t>MICA konvektor s diaľ. ovládačom, 2000 W</t>
        </is>
      </c>
      <c r="C595" s="1" t="n">
        <v>80.99</v>
      </c>
      <c r="D595" s="7" t="n">
        <f>HYPERLINK("https://www.somogyi.sk/product/mica-konvektor-s-dial-ovladacom-2000-w-fmc-2000-18063","https://www.somogyi.sk/product/mica-konvektor-s-dial-ovladacom-2000-w-fmc-2000-18063")</f>
        <v>0.0</v>
      </c>
      <c r="E595" s="7" t="n">
        <f>HYPERLINK("https://www.somogyi.sk/productimages/product_main_images/small/18063.jpg","https://www.somogyi.sk/productimages/product_main_images/small/18063.jpg")</f>
        <v>0.0</v>
      </c>
      <c r="F595" s="2" t="inlineStr">
        <is>
          <t>5999084960858</t>
        </is>
      </c>
      <c r="G595" s="4" t="inlineStr">
        <is>
          <t xml:space="preserve"> • stupne teploty: 2 stupne ohrievania: 1000 W / 2000 W 
 • displej: LED 
 • IP stupeň ochrany: IP20 
 • umiestnenie: vnútorný (obývacia izba, spálňa) 
 • termostat: digitálny termostat 
 • diaľkový ovládač: áno 
 • N/A: 18 °C - 30 °C 
 • vhodný aj do kúpeľne: nie 
 • časovač: 12 h časovač vypnutia (0,5 h jednotky) 
 • N/A: 30 m² 
 • ochrana proti prehriatiu: áno 
 • N/A: áno 
 •  
 • napájanie: 220-240 V~ / 50 Hz • napájanie diaľ. ovládača: 1 x 3 V(CR2025) gombíková batéria, je príslušenstvom 
 • rozmery: 540 x 620 x 265 (80) mm 
 • hmotnosť: 5,1 kg</t>
        </is>
      </c>
    </row>
    <row r="596">
      <c r="A596" s="3" t="inlineStr">
        <is>
          <t>FK 420 WIFI</t>
        </is>
      </c>
      <c r="B596" s="2" t="inlineStr">
        <is>
          <t>Smart ohrievač</t>
        </is>
      </c>
      <c r="C596" s="1" t="n">
        <v>131.9</v>
      </c>
      <c r="D596" s="7" t="n">
        <f>HYPERLINK("https://www.somogyi.sk/product/smart-ohrievac-fk-420-wifi-16459","https://www.somogyi.sk/product/smart-ohrievac-fk-420-wifi-16459")</f>
        <v>0.0</v>
      </c>
      <c r="E596" s="7" t="n">
        <f>HYPERLINK("https://www.somogyi.sk/productimages/product_main_images/small/16459.jpg","https://www.somogyi.sk/productimages/product_main_images/small/16459.jpg")</f>
        <v>0.0</v>
      </c>
      <c r="F596" s="2" t="inlineStr">
        <is>
          <t>5999084944919</t>
        </is>
      </c>
      <c r="G596" s="4" t="inlineStr">
        <is>
          <t xml:space="preserve"> • wifi: áno 
 • stupne teploty: 1000 W / 2000 W 
 • IP stupeň ochrany: IPX4 
 • umiestnenie: stojanový, nástenný 
 • materiál: kovová 
 • termostat: áno 
 • diaľkový ovládač: pomocou aplikácie cez WiFi 
 • N/A: 15 °C - 35 °C 
 • vhodný aj do kúpeľne: áno 
 • časovač: časovač vypnutia 
 • N/A: 30 m² 
 • dĺžka napájacieho kábla: 1,5 m 
 • ďalšie informácie: dotykové tlačidlá, detská zámka, tento výrobok je určený iba do dobre izolovaných priestorov alebo na príležitostné použitie! 
 • napájanie: 230 V~ / 50 Hz 
 • rozmery: s podstavcom:92 x 43 x 24 cm / montovaný na stenu: 92 x 38 x 9 cm 
 • hmotnosť: 6,7 kg</t>
        </is>
      </c>
    </row>
    <row r="597">
      <c r="A597" s="3" t="inlineStr">
        <is>
          <t>FKIR 351 WIFI</t>
        </is>
      </c>
      <c r="B597" s="2" t="inlineStr">
        <is>
          <t>Hybridný infra ohrievač, 350 W</t>
        </is>
      </c>
      <c r="C597" s="1" t="n">
        <v>128.9</v>
      </c>
      <c r="D597" s="7" t="n">
        <f>HYPERLINK("https://www.somogyi.sk/product/hybridny-infra-ohrievac-350-w-fkir-351-wifi-17341","https://www.somogyi.sk/product/hybridny-infra-ohrievac-350-w-fkir-351-wifi-17341")</f>
        <v>0.0</v>
      </c>
      <c r="E597" s="7" t="n">
        <f>HYPERLINK("https://www.somogyi.sk/productimages/product_main_images/small/17341.jpg","https://www.somogyi.sk/productimages/product_main_images/small/17341.jpg")</f>
        <v>0.0</v>
      </c>
      <c r="F597" s="2" t="inlineStr">
        <is>
          <t>5999084953638</t>
        </is>
      </c>
      <c r="G597" s="4" t="inlineStr">
        <is>
          <t xml:space="preserve"> • stupne teploty: 350 W 
 • displej: LCD 
 • IP stupeň ochrany: IP20 
 • umiestnenie: nástenný 
 • termostat: elektronický termostat 
 • N/A: 0 °C - 37 °C 
 • vhodný aj do kúpeľne: nie 
 • časovač: áno 
 • N/A: 5 m² 
 • ochrana proti prehriatiu: áno 
 • dĺžka napájacieho kábla: 1,6 m 
 • ďalšie informácie: funkcia senzora otvorenia okna 
 • napájanie: 230 V~ / 50 Hz 
 • rozmery: 50 x 60 x 5,5 cm 
 • hmotnosť: 2 kg</t>
        </is>
      </c>
    </row>
    <row r="598">
      <c r="A598" s="6" t="inlineStr">
        <is>
          <t xml:space="preserve">   Vykurovanie, Odvlhčovanie / Olejový radiátor</t>
        </is>
      </c>
      <c r="B598" s="6" t="inlineStr">
        <is>
          <t/>
        </is>
      </c>
      <c r="C598" s="6" t="inlineStr">
        <is>
          <t/>
        </is>
      </c>
      <c r="D598" s="6" t="inlineStr">
        <is>
          <t/>
        </is>
      </c>
      <c r="E598" s="6" t="inlineStr">
        <is>
          <t/>
        </is>
      </c>
      <c r="F598" s="6" t="inlineStr">
        <is>
          <t/>
        </is>
      </c>
      <c r="G598" s="6" t="inlineStr">
        <is>
          <t/>
        </is>
      </c>
    </row>
    <row r="599">
      <c r="A599" s="3" t="inlineStr">
        <is>
          <t>FKOS 7 M</t>
        </is>
      </c>
      <c r="B599" s="2" t="inlineStr">
        <is>
          <t>Olejový radiátor, 7 článkov, 1500 W</t>
        </is>
      </c>
      <c r="C599" s="1" t="n">
        <v>60.99</v>
      </c>
      <c r="D599" s="7" t="n">
        <f>HYPERLINK("https://www.somogyi.sk/product/olejovy-radiator-7-clankov-1500-w-fkos-7-m-16428","https://www.somogyi.sk/product/olejovy-radiator-7-clankov-1500-w-fkos-7-m-16428")</f>
        <v>0.0</v>
      </c>
      <c r="E599" s="7" t="n">
        <f>HYPERLINK("https://www.somogyi.sk/productimages/product_main_images/small/16428.jpg","https://www.somogyi.sk/productimages/product_main_images/small/16428.jpg")</f>
        <v>0.0</v>
      </c>
      <c r="F599" s="2" t="inlineStr">
        <is>
          <t>5999084944605</t>
        </is>
      </c>
      <c r="G599" s="4" t="inlineStr">
        <is>
          <t xml:space="preserve"> • stupne teploty: 3 stupne ohrievania (600 / 900 / 1500 W) 
 • počet článkov: 7 článkov 
 • termostat: áno 
 • N/A: 23 m² 
 • vhodný aj do kúpeľne: nie 
 • zabudovaný ventilátor: nie 
 • ochrana proti prehriatiu: áno 
 • automatické vypnutie v prípade prevrhnutia: áno 
 • dĺžka napájacieho kábla: 1,4 m 
 • napájanie: 230 V~ / 50 Hz 
 • rozmery: 12 (23)x60x37 cm 
 • hmotnosť: 7 kg</t>
        </is>
      </c>
    </row>
    <row r="600">
      <c r="A600" s="3" t="inlineStr">
        <is>
          <t>FKOS 13 M</t>
        </is>
      </c>
      <c r="B600" s="2" t="inlineStr">
        <is>
          <t>Olejový radiátor, 13 článkov, 2500 W</t>
        </is>
      </c>
      <c r="C600" s="1" t="n">
        <v>88.99</v>
      </c>
      <c r="D600" s="7" t="n">
        <f>HYPERLINK("https://www.somogyi.sk/product/olejovy-radiator-13-clankov-2500-w-fkos-13-m-16431","https://www.somogyi.sk/product/olejovy-radiator-13-clankov-2500-w-fkos-13-m-16431")</f>
        <v>0.0</v>
      </c>
      <c r="E600" s="7" t="n">
        <f>HYPERLINK("https://www.somogyi.sk/productimages/product_main_images/small/16431.jpg","https://www.somogyi.sk/productimages/product_main_images/small/16431.jpg")</f>
        <v>0.0</v>
      </c>
      <c r="F600" s="2" t="inlineStr">
        <is>
          <t>5999084944636</t>
        </is>
      </c>
      <c r="G600" s="4" t="inlineStr">
        <is>
          <t xml:space="preserve"> • stupne teploty: 3 stupne ohrievania (1000 / 1500 / 2500 W) 
 • počet článkov: 13 článkov 
 • termostat: áno 
 • N/A: 38 m² 
 • vhodný aj do kúpeľne: nie 
 • zabudovaný ventilátor: nie 
 • ochrana proti prehriatiu: áno 
 • automatické vypnutie v prípade prevrhnutia: áno 
 • dĺžka napájacieho kábla: 1,4 m 
 • napájanie: 230 V~ / 50 Hz 
 • rozmery: 12 (23)x60x58 cm 
 • hmotnosť: 11,8 kg</t>
        </is>
      </c>
    </row>
    <row r="601">
      <c r="A601" s="3" t="inlineStr">
        <is>
          <t>FKOS 9 M</t>
        </is>
      </c>
      <c r="B601" s="2" t="inlineStr">
        <is>
          <t>Olejový radiátor, 9 článkov, 2000 W</t>
        </is>
      </c>
      <c r="C601" s="1" t="n">
        <v>69.99</v>
      </c>
      <c r="D601" s="7" t="n">
        <f>HYPERLINK("https://www.somogyi.sk/product/olejovy-radiator-9-clankov-2000-w-fkos-9-m-16429","https://www.somogyi.sk/product/olejovy-radiator-9-clankov-2000-w-fkos-9-m-16429")</f>
        <v>0.0</v>
      </c>
      <c r="E601" s="7" t="n">
        <f>HYPERLINK("https://www.somogyi.sk/productimages/product_main_images/small/16429.jpg","https://www.somogyi.sk/productimages/product_main_images/small/16429.jpg")</f>
        <v>0.0</v>
      </c>
      <c r="F601" s="2" t="inlineStr">
        <is>
          <t>5999084944612</t>
        </is>
      </c>
      <c r="G601" s="4" t="inlineStr">
        <is>
          <t xml:space="preserve"> • stupne teploty: 3 stupne ohrievania (800 / 1200 / 2000 W) 
 • počet článkov: 9 článkov 
 • termostat: áno 
 • N/A: 30 m² 
 • vhodný aj do kúpeľne: nie 
 • zabudovaný ventilátor: nie 
 • ochrana proti prehriatiu: áno 
 • automatické vypnutie v prípade prevrhnutia: áno 
 • dĺžka napájacieho kábla: 1,4 m 
 • napájanie: 230 V~ / 50 Hz 
 • rozmery: 12 (23)x60x44 cm 
 • hmotnosť: 8,6 kg</t>
        </is>
      </c>
    </row>
    <row r="602">
      <c r="A602" s="3" t="inlineStr">
        <is>
          <t>FKOS 11 M</t>
        </is>
      </c>
      <c r="B602" s="2" t="inlineStr">
        <is>
          <t>Olejový radiátor, 11 článkov, 2000 W</t>
        </is>
      </c>
      <c r="C602" s="1" t="n">
        <v>79.99</v>
      </c>
      <c r="D602" s="7" t="n">
        <f>HYPERLINK("https://www.somogyi.sk/product/olejovy-radiator-11-clankov-2000-w-fkos-11-m-16430","https://www.somogyi.sk/product/olejovy-radiator-11-clankov-2000-w-fkos-11-m-16430")</f>
        <v>0.0</v>
      </c>
      <c r="E602" s="7" t="n">
        <f>HYPERLINK("https://www.somogyi.sk/productimages/product_main_images/small/16430.jpg","https://www.somogyi.sk/productimages/product_main_images/small/16430.jpg")</f>
        <v>0.0</v>
      </c>
      <c r="F602" s="2" t="inlineStr">
        <is>
          <t>5999084944629</t>
        </is>
      </c>
      <c r="G602" s="4" t="inlineStr">
        <is>
          <t xml:space="preserve"> • stupne teploty: 3 stupne ohrievania (800 / 1200 / 2000 W) 
 • počet článkov: 11 článkov 
 • termostat: áno 
 • N/A: 30 m² 
 • vhodný aj do kúpeľne: nie 
 • zabudovaný ventilátor: nie 
 • ochrana proti prehriatiu: áno 
 • automatické vypnutie v prípade prevrhnutia: áno 
 • dĺžka napájacieho kábla: 1,4 m 
 • napájanie: 230 V~ / 50 Hz 
 • rozmery: 12 (23)x60x51 cm 
 • hmotnosť: 10,2 kg</t>
        </is>
      </c>
    </row>
    <row r="603">
      <c r="A603" s="6" t="inlineStr">
        <is>
          <t xml:space="preserve">   Vykurovanie, Odvlhčovanie / Teplovzdušný ventilátor</t>
        </is>
      </c>
      <c r="B603" s="6" t="inlineStr">
        <is>
          <t/>
        </is>
      </c>
      <c r="C603" s="6" t="inlineStr">
        <is>
          <t/>
        </is>
      </c>
      <c r="D603" s="6" t="inlineStr">
        <is>
          <t/>
        </is>
      </c>
      <c r="E603" s="6" t="inlineStr">
        <is>
          <t/>
        </is>
      </c>
      <c r="F603" s="6" t="inlineStr">
        <is>
          <t/>
        </is>
      </c>
      <c r="G603" s="6" t="inlineStr">
        <is>
          <t/>
        </is>
      </c>
    </row>
    <row r="604">
      <c r="A604" s="3" t="inlineStr">
        <is>
          <t>FK 1</t>
        </is>
      </c>
      <c r="B604" s="2" t="inlineStr">
        <is>
          <t>Ohrievač, s ventilátorom</t>
        </is>
      </c>
      <c r="C604" s="1" t="n">
        <v>17.49</v>
      </c>
      <c r="D604" s="7" t="n">
        <f>HYPERLINK("https://www.somogyi.sk/product/ohrievac-s-ventilatorom-fk-1-6431","https://www.somogyi.sk/product/ohrievac-s-ventilatorom-fk-1-6431")</f>
        <v>0.0</v>
      </c>
      <c r="E604" s="7" t="n">
        <f>HYPERLINK("https://www.somogyi.sk/productimages/product_main_images/small/06431.jpg","https://www.somogyi.sk/productimages/product_main_images/small/06431.jpg")</f>
        <v>0.0</v>
      </c>
      <c r="F604" s="2" t="inlineStr">
        <is>
          <t>5998312754771</t>
        </is>
      </c>
      <c r="G604" s="4" t="inlineStr">
        <is>
          <t xml:space="preserve"> • farba: biela 
 • diaľkový ovládač: nie 
 • stupne teploty: 1000 W / 2000 W 
 • časovač vypnutia: nie 
 • len režim ventilátora: áno 
 • termostat: áno 
 • N/A: 30 m² 
 • vhodný aj do kúpeľne: nie 
 • oscilácia: nie 
 • IP stupeň ochrany: IP20 
 • umiestnenie na stenu: nie 
 • ochrana proti prehriatiu: áno 
 • automatické vypnutie v prípade prevrhnutia: áno 
 • hlučnosť: 52 dB(A) 
 • dĺžka napájacieho kábla: 1,5 m 
 • napájanie: 230 V~  / 50 Hz 
 • rozmery: 21 x 26,5 x 11 cm 
 • hmotnosť: 1,1 kg</t>
        </is>
      </c>
    </row>
    <row r="605">
      <c r="A605" s="3" t="inlineStr">
        <is>
          <t>ST-05-400-E</t>
        </is>
      </c>
      <c r="B605" s="2" t="inlineStr">
        <is>
          <t>STANLEY priemyselný ohrievač</t>
        </is>
      </c>
      <c r="C605" s="1" t="n">
        <v>170.9</v>
      </c>
      <c r="D605" s="7" t="n">
        <f>HYPERLINK("https://www.somogyi.sk/product/stanley-priemyselny-ohrievac-st-05-400-e-17045","https://www.somogyi.sk/product/stanley-priemyselny-ohrievac-st-05-400-e-17045")</f>
        <v>0.0</v>
      </c>
      <c r="E605" s="7" t="n">
        <f>HYPERLINK("https://www.somogyi.sk/productimages/product_main_images/small/17045.jpg","https://www.somogyi.sk/productimages/product_main_images/small/17045.jpg")</f>
        <v>0.0</v>
      </c>
      <c r="F605" s="2" t="inlineStr">
        <is>
          <t>0657888110057</t>
        </is>
      </c>
      <c r="G605" s="4" t="inlineStr">
        <is>
          <t xml:space="preserve"> • stupne teploty: 2500 W / 5000 W 
 • len režim ventilátora: áno 
 • termostat: mechanický 
 • N/A: 77 m² 
 • IP stupeň ochrany: IPX4 
 • ochrana proti prehriatiu: áno 
 • dĺžka napájacieho kábla: 1,3 m 
 • napájanie: 400 V ~/ 50 Hz 
 • rozmery: 35 x 37,5 x 45,5 cm 
 • ďalšie informácie: kovový kryt, so sieťovým káblom a prípojkou</t>
        </is>
      </c>
    </row>
    <row r="606">
      <c r="A606" s="3" t="inlineStr">
        <is>
          <t>FKI 50</t>
        </is>
      </c>
      <c r="B606" s="2" t="inlineStr">
        <is>
          <t>Priemyselný ventilátorový ohrievač</t>
        </is>
      </c>
      <c r="C606" s="1" t="n">
        <v>129.9</v>
      </c>
      <c r="D606" s="7" t="n">
        <f>HYPERLINK("https://www.somogyi.sk/product/priemyselny-ventilatorovy-ohrievac-fki-50-16452","https://www.somogyi.sk/product/priemyselny-ventilatorovy-ohrievac-fki-50-16452")</f>
        <v>0.0</v>
      </c>
      <c r="E606" s="7" t="n">
        <f>HYPERLINK("https://www.somogyi.sk/productimages/product_main_images/small/16452.jpg","https://www.somogyi.sk/productimages/product_main_images/small/16452.jpg")</f>
        <v>0.0</v>
      </c>
      <c r="F606" s="2" t="inlineStr">
        <is>
          <t>5999084944841</t>
        </is>
      </c>
      <c r="G606" s="4" t="inlineStr">
        <is>
          <t xml:space="preserve"> • stupne teploty: 2500 W / 5000 W 
 • termostat: áno 
 • N/A: 77 m² 
 • IP stupeň ochrany: IPX4 
 • ochrana proti prehriatiu: áno 
 • napájanie: 400 V~ 
 • rozmery: 29,5 x 47 x 33 cm 
 • ďalšie informácie: Sieťový kábel nie je príslušenstvom!</t>
        </is>
      </c>
    </row>
    <row r="607">
      <c r="A607" s="3" t="inlineStr">
        <is>
          <t>FK 1/O</t>
        </is>
      </c>
      <c r="B607" s="2" t="inlineStr">
        <is>
          <t>Teplovzdušný ventilátor</t>
        </is>
      </c>
      <c r="C607" s="1" t="n">
        <v>29.99</v>
      </c>
      <c r="D607" s="7" t="n">
        <f>HYPERLINK("https://www.somogyi.sk/product/teplovzdusny-ventilator-fk-1-o-9805","https://www.somogyi.sk/product/teplovzdusny-ventilator-fk-1-o-9805")</f>
        <v>0.0</v>
      </c>
      <c r="E607" s="7" t="n">
        <f>HYPERLINK("https://www.somogyi.sk/productimages/product_main_images/small/09805.jpg","https://www.somogyi.sk/productimages/product_main_images/small/09805.jpg")</f>
        <v>0.0</v>
      </c>
      <c r="F607" s="2" t="inlineStr">
        <is>
          <t>5998312785317</t>
        </is>
      </c>
      <c r="G607" s="4" t="inlineStr">
        <is>
          <t xml:space="preserve"> • farba: biela 
 • diaľkový ovládač: nie 
 • stupne teploty: 2000 W 
 • časovač vypnutia: nie 
 • len režim ventilátora: áno 
 • termostat: áno 
 • N/A: 30 m² 
 • vhodný aj do kúpeľne: nie 
 • oscilácia: áno 
 • IP stupeň ochrany: IP20 
 • umiestnenie na stenu: nie 
 • automatické vypnutie v prípade prevrhnutia: nie 
 • hlučnosť: 52 dB(A) 
 • dĺžka napájacieho kábla: 1,45 m 
 • napájanie: 230 V~  / 50 Hz 
 • rozmery: 22 x 30 x 19 cm 
 • hmotnosť: 1,3 kg 
 • ďalšie informácie: Výrobok je určený výlučne na vykurovanie dobre izolovaných miestností alebo na príležitostné používanie!</t>
        </is>
      </c>
    </row>
    <row r="608">
      <c r="A608" s="3" t="inlineStr">
        <is>
          <t>FK 37/GY</t>
        </is>
      </c>
      <c r="B608" s="2" t="inlineStr">
        <is>
          <t>Teplovzdušný ventilátor</t>
        </is>
      </c>
      <c r="C608" s="1" t="n">
        <v>25.99</v>
      </c>
      <c r="D608" s="7" t="n">
        <f>HYPERLINK("https://www.somogyi.sk/product/teplovzdusny-ventilator-fk-37-gy-14902","https://www.somogyi.sk/product/teplovzdusny-ventilator-fk-37-gy-14902")</f>
        <v>0.0</v>
      </c>
      <c r="E608" s="7" t="n">
        <f>HYPERLINK("https://www.somogyi.sk/productimages/product_main_images/small/14902.jpg","https://www.somogyi.sk/productimages/product_main_images/small/14902.jpg")</f>
        <v>0.0</v>
      </c>
      <c r="F608" s="2" t="inlineStr">
        <is>
          <t>5999084929398</t>
        </is>
      </c>
      <c r="G608" s="4" t="inlineStr">
        <is>
          <t xml:space="preserve"> • 2 stupne ohrievania: 1000 W / 2000 W 
 • mechanický termostat 
 • automatické vypnutie v prípade prehriatia alebo prevrhnutia 
 • rozmery: 26 x 24 x 13 cm</t>
        </is>
      </c>
    </row>
    <row r="609">
      <c r="A609" s="3" t="inlineStr">
        <is>
          <t>ST-033-240-E</t>
        </is>
      </c>
      <c r="B609" s="2" t="inlineStr">
        <is>
          <t>STANLEY priemyselný ohrievač, 3,3 kW</t>
        </is>
      </c>
      <c r="C609" s="1" t="n">
        <v>110.9</v>
      </c>
      <c r="D609" s="7" t="n">
        <f>HYPERLINK("https://www.somogyi.sk/product/stanley-priemyselny-ohrievac-3-3-kw-st-033-240-e-17044","https://www.somogyi.sk/product/stanley-priemyselny-ohrievac-3-3-kw-st-033-240-e-17044")</f>
        <v>0.0</v>
      </c>
      <c r="E609" s="7" t="n">
        <f>HYPERLINK("https://www.somogyi.sk/productimages/product_main_images/small/17044.jpg","https://www.somogyi.sk/productimages/product_main_images/small/17044.jpg")</f>
        <v>0.0</v>
      </c>
      <c r="F609" s="2" t="inlineStr">
        <is>
          <t>0657888140337</t>
        </is>
      </c>
      <c r="G609" s="4" t="inlineStr">
        <is>
          <t xml:space="preserve"> • stupne teploty: 1650 W / 3300 W 
 • len režim ventilátora: áno 
 • termostat: mechanický 
 • N/A: 50 m² 
 • IP stupeň ochrany: IPX4 
 • ochrana proti prehriatiu: áno 
 • napájanie: 230 V ~/ 50 Hz 
 • rozmery: 35 x 37,5 x 45,5 cm 
 • ďalšie informácie: kovový kryt</t>
        </is>
      </c>
    </row>
    <row r="610">
      <c r="A610" s="6" t="inlineStr">
        <is>
          <t xml:space="preserve">   Vykurovanie, Odvlhčovanie / Vysávač na popol</t>
        </is>
      </c>
      <c r="B610" s="6" t="inlineStr">
        <is>
          <t/>
        </is>
      </c>
      <c r="C610" s="6" t="inlineStr">
        <is>
          <t/>
        </is>
      </c>
      <c r="D610" s="6" t="inlineStr">
        <is>
          <t/>
        </is>
      </c>
      <c r="E610" s="6" t="inlineStr">
        <is>
          <t/>
        </is>
      </c>
      <c r="F610" s="6" t="inlineStr">
        <is>
          <t/>
        </is>
      </c>
      <c r="G610" s="6" t="inlineStr">
        <is>
          <t/>
        </is>
      </c>
    </row>
    <row r="611">
      <c r="A611" s="3" t="inlineStr">
        <is>
          <t>FHP 820/G</t>
        </is>
      </c>
      <c r="B611" s="2" t="inlineStr">
        <is>
          <t>Kovová hadica k FHP 820</t>
        </is>
      </c>
      <c r="C611" s="1" t="n">
        <v>5.19</v>
      </c>
      <c r="D611" s="7" t="n">
        <f>HYPERLINK("https://www.somogyi.sk/product/kovova-hadica-k-fhp-820-fhp-820-g-15888","https://www.somogyi.sk/product/kovova-hadica-k-fhp-820-fhp-820-g-15888")</f>
        <v>0.0</v>
      </c>
      <c r="E611" s="7" t="n">
        <f>HYPERLINK("https://www.somogyi.sk/productimages/product_main_images/small/15888.jpg","https://www.somogyi.sk/productimages/product_main_images/small/15888.jpg")</f>
        <v>0.0</v>
      </c>
      <c r="F611" s="2" t="inlineStr">
        <is>
          <t>5999084939229</t>
        </is>
      </c>
      <c r="G611" s="4" t="inlineStr">
        <is>
          <t xml:space="preserve"> • rozmery: ∅3,3 x 100 cm</t>
        </is>
      </c>
    </row>
    <row r="612">
      <c r="A612" s="3" t="inlineStr">
        <is>
          <t>FHP 820</t>
        </is>
      </c>
      <c r="B612" s="2" t="inlineStr">
        <is>
          <t>Vysávač na popol</t>
        </is>
      </c>
      <c r="C612" s="1" t="n">
        <v>57.99</v>
      </c>
      <c r="D612" s="7" t="n">
        <f>HYPERLINK("https://www.somogyi.sk/product/vysavac-na-popol-fhp-820-15883","https://www.somogyi.sk/product/vysavac-na-popol-fhp-820-15883")</f>
        <v>0.0</v>
      </c>
      <c r="E612" s="7" t="n">
        <f>HYPERLINK("https://www.somogyi.sk/productimages/product_main_images/small/15883.jpg","https://www.somogyi.sk/productimages/product_main_images/small/15883.jpg")</f>
        <v>0.0</v>
      </c>
      <c r="F612" s="2" t="inlineStr">
        <is>
          <t>5999084939175</t>
        </is>
      </c>
      <c r="G612" s="4" t="inlineStr">
        <is>
          <t xml:space="preserve"> • objem nádrže: 20 l 
 • maximálna teplota popola: 50 °C 
 • vákum: 160 mbar / 16 kPa 
 • umývateľný filter: áno (FHP 820/S) 
 • kovová hadica: áno 
 • hliníková koncovka: áno 
 • výkon: 800 W 
 • hlučnosť: 78 dB(A) 
 • dĺžka napájacieho kábla: 1,5 m 
 • napájanie: 230 V~ 
 • rozmery: 36 x 36 x 44 cm 
 • hmotnosť: 3,3 kg 
 • ďalšie informácie: funkcia fúkania / príslušenstvo možno dokúpiť: kovová hadica (FHP 820/G), umývateľný filter (FHP 820/S(</t>
        </is>
      </c>
    </row>
    <row r="613">
      <c r="A613" s="3" t="inlineStr">
        <is>
          <t>FHP 820/S</t>
        </is>
      </c>
      <c r="B613" s="2" t="inlineStr">
        <is>
          <t>Umývateľný filter k FHP 820</t>
        </is>
      </c>
      <c r="C613" s="1" t="n">
        <v>7.69</v>
      </c>
      <c r="D613" s="7" t="n">
        <f>HYPERLINK("https://www.somogyi.sk/product/umyvatelny-filter-k-fhp-820-fhp-820-s-15884","https://www.somogyi.sk/product/umyvatelny-filter-k-fhp-820-fhp-820-s-15884")</f>
        <v>0.0</v>
      </c>
      <c r="E613" s="7" t="n">
        <f>HYPERLINK("https://www.somogyi.sk/productimages/product_main_images/small/15884.jpg","https://www.somogyi.sk/productimages/product_main_images/small/15884.jpg")</f>
        <v>0.0</v>
      </c>
      <c r="F613" s="2" t="inlineStr">
        <is>
          <t>5999084939182</t>
        </is>
      </c>
      <c r="G613" s="4"/>
    </row>
    <row r="614">
      <c r="A614" s="6" t="inlineStr">
        <is>
          <t xml:space="preserve">   Vykurovanie, Odvlhčovanie / Termostat, zónový systém, spínač, internetový modul</t>
        </is>
      </c>
      <c r="B614" s="6" t="inlineStr">
        <is>
          <t/>
        </is>
      </c>
      <c r="C614" s="6" t="inlineStr">
        <is>
          <t/>
        </is>
      </c>
      <c r="D614" s="6" t="inlineStr">
        <is>
          <t/>
        </is>
      </c>
      <c r="E614" s="6" t="inlineStr">
        <is>
          <t/>
        </is>
      </c>
      <c r="F614" s="6" t="inlineStr">
        <is>
          <t/>
        </is>
      </c>
      <c r="G614" s="6" t="inlineStr">
        <is>
          <t/>
        </is>
      </c>
    </row>
    <row r="615">
      <c r="A615" s="3" t="inlineStr">
        <is>
          <t>T140C110AEU</t>
        </is>
      </c>
      <c r="B615" s="2" t="inlineStr">
        <is>
          <t>Digitálny izbový termostat T140</t>
        </is>
      </c>
      <c r="C615" s="1" t="n">
        <v>87.99</v>
      </c>
      <c r="D615" s="7" t="n">
        <f>HYPERLINK("https://www.somogyi.sk/product/digitalny-izbovy-termostat-t140-t140c110aeu-17270","https://www.somogyi.sk/product/digitalny-izbovy-termostat-t140-t140c110aeu-17270")</f>
        <v>0.0</v>
      </c>
      <c r="E615" s="7" t="n">
        <f>HYPERLINK("https://www.somogyi.sk/productimages/product_main_images/small/17270.jpg","https://www.somogyi.sk/productimages/product_main_images/small/17270.jpg")</f>
        <v>0.0</v>
      </c>
      <c r="F615" s="2" t="inlineStr">
        <is>
          <t>5059085000295</t>
        </is>
      </c>
      <c r="G615" s="4" t="inlineStr">
        <is>
          <t xml:space="preserve"> • diaľkové ovládanie: nie 
 • Android kompatibilita: nie 
 • iOS kompatibilita: nie 
 • displej: LCD 
 • programovateľné: 7 dní programovania, 4 programy za deň, samoučiaci sa algoritmus 
 • frekvencia: bezdrôtový 
 • umiestnenie na stenu: áno 
 • napájanie: 2 x 1,5 V (AA) batéria, nie je príslušenstvom</t>
        </is>
      </c>
    </row>
    <row r="616">
      <c r="A616" s="3" t="inlineStr">
        <is>
          <t>ATP921R3052</t>
        </is>
      </c>
      <c r="B616" s="2" t="inlineStr">
        <is>
          <t>Sada izbového termostatu, farebné LCD, multi-zone</t>
        </is>
      </c>
      <c r="C616" s="1" t="n">
        <v>369.9</v>
      </c>
      <c r="D616" s="7" t="n">
        <f>HYPERLINK("https://www.somogyi.sk/product/sada-izboveho-termostatu-farebne-lcd-multi-zone-atp921r3052-14936","https://www.somogyi.sk/product/sada-izboveho-termostatu-farebne-lcd-multi-zone-atp921r3052-14936")</f>
        <v>0.0</v>
      </c>
      <c r="E616" s="7" t="n">
        <f>HYPERLINK("https://www.somogyi.sk/productimages/product_main_images/small/14936.jpg","https://www.somogyi.sk/productimages/product_main_images/small/14936.jpg")</f>
        <v>0.0</v>
      </c>
      <c r="F616" s="2" t="inlineStr">
        <is>
          <t>5025121381093</t>
        </is>
      </c>
      <c r="G616" s="4" t="inlineStr">
        <is>
          <t xml:space="preserve"> • ATC 928 evohom zónový systém, BDR spínací modul a ATF100 nabíjací stojan na stôl 
 • meranie 0,1 °C, zobrazenie po 0,5 °C 
 • 868 MHz 
 • 30 m dosah na otvorenom teréne 
 • napájanie: 2 x NiMH akumulátor, je príslušenstvom 
 • nabíjanie akumulátorov zabezpečí stojan 
 • relé jednotka BDR si vyžaduje 230 V napájanie</t>
        </is>
      </c>
    </row>
    <row r="617">
      <c r="A617" s="3" t="inlineStr">
        <is>
          <t>T136C110AEU</t>
        </is>
      </c>
      <c r="B617" s="2" t="inlineStr">
        <is>
          <t>Digitálny izbový termostat T136</t>
        </is>
      </c>
      <c r="C617" s="1" t="n">
        <v>71.99</v>
      </c>
      <c r="D617" s="7" t="n">
        <f>HYPERLINK("https://www.somogyi.sk/product/digitalny-izbovy-termostat-t136-t136c110aeu-17269","https://www.somogyi.sk/product/digitalny-izbovy-termostat-t136-t136c110aeu-17269")</f>
        <v>0.0</v>
      </c>
      <c r="E617" s="7" t="n">
        <f>HYPERLINK("https://www.somogyi.sk/productimages/product_main_images/small/17269.jpg","https://www.somogyi.sk/productimages/product_main_images/small/17269.jpg")</f>
        <v>0.0</v>
      </c>
      <c r="F617" s="2" t="inlineStr">
        <is>
          <t>5059085000271</t>
        </is>
      </c>
      <c r="G617" s="4" t="inlineStr">
        <is>
          <t xml:space="preserve"> • diaľkové ovládanie: nie 
 • Android kompatibilita: nie 
 • iOS kompatibilita: nie 
 • displej: LCD 
 • programovateľné: možno nastaviť čas budenia, odchodu, príchodu domov a spánku, ako aj cieľovú teplotu, ktorú im možno priradiť 
 • frekvencia: bezdrôtový 
 • umiestnenie na stenu: áno 
 • napájanie: 2 x 1,5 V (AAA) batéria, nie je príslušenstvom</t>
        </is>
      </c>
    </row>
    <row r="618">
      <c r="A618" s="3" t="inlineStr">
        <is>
          <t>T3C110AEU</t>
        </is>
      </c>
      <c r="B618" s="2" t="inlineStr">
        <is>
          <t>Izbový termostat, programovateľný T3</t>
        </is>
      </c>
      <c r="C618" s="1" t="n">
        <v>102.9</v>
      </c>
      <c r="D618" s="7" t="n">
        <f>HYPERLINK("https://www.somogyi.sk/product/izbovy-termostat-programovatelny-t3-t3c110aeu-16792","https://www.somogyi.sk/product/izbovy-termostat-programovatelny-t3-t3c110aeu-16792")</f>
        <v>0.0</v>
      </c>
      <c r="E618" s="7" t="n">
        <f>HYPERLINK("https://www.somogyi.sk/productimages/product_main_images/small/16792.jpg","https://www.somogyi.sk/productimages/product_main_images/small/16792.jpg")</f>
        <v>0.0</v>
      </c>
      <c r="F618" s="2" t="inlineStr">
        <is>
          <t>5059085000011</t>
        </is>
      </c>
      <c r="G618" s="4" t="inlineStr">
        <is>
          <t xml:space="preserve"> • diaľkové ovládanie: nie 
 • Android kompatibilita: nie 
 • displej: LCD 
 • osvetlenie pozadia: áno 
 • programovateľné: programovateľný na 7 dní 
 • frekvencia: káblový 
 • ochrana proti zamrznutiu: áno 5°C 
 • umiestnenie na stenu: áno 
 • zapustenie do steny: nie 
 • napájanie: 2 x 1,5 V (AA) batéria, je príslušenstvom</t>
        </is>
      </c>
    </row>
    <row r="619">
      <c r="A619" s="3" t="inlineStr">
        <is>
          <t>T135C110AEU</t>
        </is>
      </c>
      <c r="B619" s="2" t="inlineStr">
        <is>
          <t>Digitálny izbový termostat DT135</t>
        </is>
      </c>
      <c r="C619" s="1" t="n">
        <v>56.99</v>
      </c>
      <c r="D619" s="7" t="n">
        <f>HYPERLINK("https://www.somogyi.sk/product/digitalny-izbovy-termostat-dt135-t135c110aeu-17268","https://www.somogyi.sk/product/digitalny-izbovy-termostat-dt135-t135c110aeu-17268")</f>
        <v>0.0</v>
      </c>
      <c r="E619" s="7" t="n">
        <f>HYPERLINK("https://www.somogyi.sk/productimages/product_main_images/small/17268.jpg","https://www.somogyi.sk/productimages/product_main_images/small/17268.jpg")</f>
        <v>0.0</v>
      </c>
      <c r="F619" s="2" t="inlineStr">
        <is>
          <t>5059085000257</t>
        </is>
      </c>
      <c r="G619" s="4" t="inlineStr">
        <is>
          <t xml:space="preserve"> • diaľkové ovládanie: nie 
 • Android kompatibilita: nie 
 • iOS kompatibilita: nie 
 • displej: LCD 
 • frekvencia: káblový 
 • umiestnenie na stenu: áno 
 • napájanie: 2 x 1,5 V (AA) batéria, nie je príslušenstvom</t>
        </is>
      </c>
    </row>
    <row r="620">
      <c r="A620" s="3" t="inlineStr">
        <is>
          <t>T6360A1079</t>
        </is>
      </c>
      <c r="B620" s="2" t="inlineStr">
        <is>
          <t>N/A</t>
        </is>
      </c>
      <c r="C620" s="1" t="n">
        <v>23.99</v>
      </c>
      <c r="D620" s="7" t="n">
        <f>HYPERLINK("https://www.somogyi.sk/product/n-a-t6360a1079-13654","https://www.somogyi.sk/product/n-a-t6360a1079-13654")</f>
        <v>0.0</v>
      </c>
      <c r="E620" s="7" t="n">
        <f>HYPERLINK("https://www.somogyi.sk/productimages/product_main_images/small/13654.jpg","https://www.somogyi.sk/productimages/product_main_images/small/13654.jpg")</f>
        <v>0.0</v>
      </c>
      <c r="F620" s="2" t="inlineStr">
        <is>
          <t>5025121271967</t>
        </is>
      </c>
      <c r="G620" s="4" t="inlineStr">
        <is>
          <t xml:space="preserve"> • kompatibilita: - 
 • diaľkové ovládanie: nie 
 • Android kompatibilita: nie 
 • displej: nie 
 • osvetlenie pozadia: nie 
 • počet vykurovacích zón: 1 
 • frekvencia: s vedením 
 • meranie: nepretržitý 
 •  
 • umiestnenie na stenu: áno 
 • zapustenie do steny: nie 
 • napájanie: nie 
 • rozmery: nie je uvedené na technickom liste</t>
        </is>
      </c>
    </row>
    <row r="621">
      <c r="A621" s="3" t="inlineStr">
        <is>
          <t>DT90A1008</t>
        </is>
      </c>
      <c r="B621" s="2" t="inlineStr">
        <is>
          <t>Digitálny izbový termostat Honeywell</t>
        </is>
      </c>
      <c r="C621" s="1" t="n">
        <v>48.99</v>
      </c>
      <c r="D621" s="7" t="n">
        <f>HYPERLINK("https://www.somogyi.sk/product/digitalny-izbovy-termostat-honeywell-dt90a1008-13655","https://www.somogyi.sk/product/digitalny-izbovy-termostat-honeywell-dt90a1008-13655")</f>
        <v>0.0</v>
      </c>
      <c r="E621" s="7" t="n">
        <f>HYPERLINK("https://www.somogyi.sk/productimages/product_main_images/small/13655.jpg","https://www.somogyi.sk/productimages/product_main_images/small/13655.jpg")</f>
        <v>0.0</v>
      </c>
      <c r="F621" s="2" t="inlineStr">
        <is>
          <t>5025121386135</t>
        </is>
      </c>
      <c r="G621" s="4" t="inlineStr">
        <is>
          <t xml:space="preserve"> • kompatibilita: - 
 • diaľkové ovládanie: nie 
 • Android kompatibilita: nie 
 • displej: LCD 
 • osvetlenie pozadia: nie 
 • počet vykurovacích zón: 1 
 • frekvencia: s vedením 
 • meranie: 0,01°C 
 • zobrazenie nameranej hodnoty: zobrazenie po 0,5°C 
 • ochrana proti zamrznutiu: áno, 5°C 
 • umiestnenie na stenu: áno 
 • zapustenie do steny: nie 
 • napájanie: 2 ks 1,5 V AA batéria 
 • rozmery: 90 x 90 x 28 mm</t>
        </is>
      </c>
    </row>
    <row r="622">
      <c r="A622" s="6" t="inlineStr">
        <is>
          <t xml:space="preserve">   Vykurovanie, Odvlhčovanie / Elektrický odvlhčovač</t>
        </is>
      </c>
      <c r="B622" s="6" t="inlineStr">
        <is>
          <t/>
        </is>
      </c>
      <c r="C622" s="6" t="inlineStr">
        <is>
          <t/>
        </is>
      </c>
      <c r="D622" s="6" t="inlineStr">
        <is>
          <t/>
        </is>
      </c>
      <c r="E622" s="6" t="inlineStr">
        <is>
          <t/>
        </is>
      </c>
      <c r="F622" s="6" t="inlineStr">
        <is>
          <t/>
        </is>
      </c>
      <c r="G622" s="6" t="inlineStr">
        <is>
          <t/>
        </is>
      </c>
    </row>
    <row r="623">
      <c r="A623" s="3" t="inlineStr">
        <is>
          <t>DHM 10LR</t>
        </is>
      </c>
      <c r="B623" s="2" t="inlineStr">
        <is>
          <t>Odvlhčovač, max. 10 liter / 24 h, 230 V~, R29</t>
        </is>
      </c>
      <c r="C623" s="1" t="n">
        <v>202.9</v>
      </c>
      <c r="D623" s="7" t="n">
        <f>HYPERLINK("https://www.somogyi.sk/product/odvlhcovac-max-10-liter-24-h-230-v-r29-dhm-10lr-17061","https://www.somogyi.sk/product/odvlhcovac-max-10-liter-24-h-230-v-r29-dhm-10lr-17061")</f>
        <v>0.0</v>
      </c>
      <c r="E623" s="7" t="n">
        <f>HYPERLINK("https://www.somogyi.sk/productimages/product_main_images/small/17061.jpg","https://www.somogyi.sk/productimages/product_main_images/small/17061.jpg")</f>
        <v>0.0</v>
      </c>
      <c r="F623" s="2" t="inlineStr">
        <is>
          <t>5999084950934</t>
        </is>
      </c>
      <c r="G623" s="4" t="inlineStr">
        <is>
          <t xml:space="preserve"> • kapacita odvlhčovania: 10 L / 24 h (30°C, RH: 80%),  
 •  5 L / 24 h (27°C, RH: 60% 
 • rozmer miestnosti: 10 - 20 m² 
 • nastaviteľná vlhkosť vzduchu: nastaviteľná vlhkosť vzduchu (30% – 80% RH) 
 • časovač vypnutia: na 1-24 h dobu, v hodinových krokoch 
 • nádrž na vodu: 2,2 l 
 • chladiace médium: chladiace médium R290 
 • vývodná hadica: áno 
 • pojazdné kolieska: áno 
 • výkon: 200 W menovitý/ 245 W maximálny 
 • hlučnosť: 45 dB(A) 
 • dĺžka napájacieho kábla: 1,8 m 
 • napájanie: 230 V~ / 50 Hz 
 • rozmery: 28,4 x 48 x 24 cm 
 • hmotnosť: 9 kg</t>
        </is>
      </c>
    </row>
    <row r="624">
      <c r="A624" s="3" t="inlineStr">
        <is>
          <t>DHM 300</t>
        </is>
      </c>
      <c r="B624" s="2" t="inlineStr">
        <is>
          <t>Odvlhčovač</t>
        </is>
      </c>
      <c r="C624" s="1" t="n">
        <v>60.99</v>
      </c>
      <c r="D624" s="7" t="n">
        <f>HYPERLINK("https://www.somogyi.sk/product/odvlhcovac-dhm-300-16754","https://www.somogyi.sk/product/odvlhcovac-dhm-300-16754")</f>
        <v>0.0</v>
      </c>
      <c r="E624" s="7" t="n">
        <f>HYPERLINK("https://www.somogyi.sk/productimages/product_main_images/small/16754.jpg","https://www.somogyi.sk/productimages/product_main_images/small/16754.jpg")</f>
        <v>0.0</v>
      </c>
      <c r="F624" s="2" t="inlineStr">
        <is>
          <t>5999084947866</t>
        </is>
      </c>
      <c r="G624" s="4" t="inlineStr">
        <is>
          <t xml:space="preserve"> • kapacita odvlhčovania: 300 ml / 24 h 
 • nádrž na vodu: 0,5 l 
 • výkon: 27 W 
 • dĺžka napájacieho kábla: 1,5 m 
 • napájanie: 230 V~  / 50 Hz 
 • rozmery: 15 x 22 x 13 cm</t>
        </is>
      </c>
    </row>
    <row r="625">
      <c r="A625" s="3" t="inlineStr">
        <is>
          <t>TP SMALL</t>
        </is>
      </c>
      <c r="B625" s="2" t="inlineStr">
        <is>
          <t>Odvlhčovač</t>
        </is>
      </c>
      <c r="C625" s="1" t="n">
        <v>349.9</v>
      </c>
      <c r="D625" s="7" t="n">
        <f>HYPERLINK("https://www.somogyi.sk/product/odvlhcovac-tp-small-16879","https://www.somogyi.sk/product/odvlhcovac-tp-small-16879")</f>
        <v>0.0</v>
      </c>
      <c r="E625" s="7" t="n">
        <f>HYPERLINK("https://www.somogyi.sk/productimages/product_main_images/small/16879.jpg","https://www.somogyi.sk/productimages/product_main_images/small/16879.jpg")</f>
        <v>0.0</v>
      </c>
      <c r="F625" s="2" t="inlineStr">
        <is>
          <t>4895007939882</t>
        </is>
      </c>
      <c r="G625" s="4" t="inlineStr">
        <is>
          <t xml:space="preserve"> • kapacita odvlhčovania: 24 L / 24 h 
 • nastaviteľná vlhkosť vzduchu: nastaviteľná vlhkosť: 30-90% RH 
 • časovač vypnutia: 24 h časovač 
 • nádrž na vodu: 3,3 l 
 • chladiace médium: chladiace médium R290 
 • vývodná hadica: áno 
 • pojazdné kolieska: áno 
 • výkon: 270 W 
 • hlučnosť: 49,5 dB(A) 
 • napájanie: 230 V~  / 50 Hz 
 • ďalšie informácie: digitálny ovládací panel, držiak kábla, rukoväť, umývateľný prachový filter 
 • rozmery: 33,5 x 26,7 x 51,1 cm 
 • hmotnosť: 14,8 kg</t>
        </is>
      </c>
    </row>
    <row r="626">
      <c r="A626" s="3" t="inlineStr">
        <is>
          <t>DHM 710</t>
        </is>
      </c>
      <c r="B626" s="2" t="inlineStr">
        <is>
          <t>Odvlhčovač</t>
        </is>
      </c>
      <c r="C626" s="1" t="n">
        <v>89.99</v>
      </c>
      <c r="D626" s="7" t="n">
        <f>HYPERLINK("https://www.somogyi.sk/product/odvlhcovac-dhm-710-17776","https://www.somogyi.sk/product/odvlhcovac-dhm-710-17776")</f>
        <v>0.0</v>
      </c>
      <c r="E626" s="7" t="n">
        <f>HYPERLINK("https://www.somogyi.sk/productimages/product_main_images/small/17776.jpg","https://www.somogyi.sk/productimages/product_main_images/small/17776.jpg")</f>
        <v>0.0</v>
      </c>
      <c r="F626" s="2" t="inlineStr">
        <is>
          <t>5999084957988</t>
        </is>
      </c>
      <c r="G626" s="4" t="inlineStr">
        <is>
          <t xml:space="preserve"> • kapacita odvlhčovania: max. 700 ml/nap (25 °C, 85% RH) 
 • nádrž na vodu: 1,65 l 
 • vývodná hadica: áno 
 • výkon: 72 W 
 • hlučnosť: 45 dB(A) 
 • napájanie: 220-240 V~ / 50 Hz 
 • rozmery: 24 x 36 x 12 cm</t>
        </is>
      </c>
    </row>
    <row r="627">
      <c r="A627" s="6" t="inlineStr">
        <is>
          <t xml:space="preserve">   Vykurovanie, Odvlhčovanie / Zvlhčovač</t>
        </is>
      </c>
      <c r="B627" s="6" t="inlineStr">
        <is>
          <t/>
        </is>
      </c>
      <c r="C627" s="6" t="inlineStr">
        <is>
          <t/>
        </is>
      </c>
      <c r="D627" s="6" t="inlineStr">
        <is>
          <t/>
        </is>
      </c>
      <c r="E627" s="6" t="inlineStr">
        <is>
          <t/>
        </is>
      </c>
      <c r="F627" s="6" t="inlineStr">
        <is>
          <t/>
        </is>
      </c>
      <c r="G627" s="6" t="inlineStr">
        <is>
          <t/>
        </is>
      </c>
    </row>
    <row r="628">
      <c r="A628" s="3" t="inlineStr">
        <is>
          <t>AD 300</t>
        </is>
      </c>
      <c r="B628" s="2" t="inlineStr">
        <is>
          <t>Aromatický difuzér, ultrazvukový</t>
        </is>
      </c>
      <c r="C628" s="1" t="n">
        <v>34.99</v>
      </c>
      <c r="D628" s="7" t="n">
        <f>HYPERLINK("https://www.somogyi.sk/product/aromaticky-difuzer-ultrazvukovy-ad-300-17566","https://www.somogyi.sk/product/aromaticky-difuzer-ultrazvukovy-ad-300-17566")</f>
        <v>0.0</v>
      </c>
      <c r="E628" s="7" t="n">
        <f>HYPERLINK("https://www.somogyi.sk/productimages/product_main_images/small/17566.jpg","https://www.somogyi.sk/productimages/product_main_images/small/17566.jpg")</f>
        <v>0.0</v>
      </c>
      <c r="F628" s="2" t="inlineStr">
        <is>
          <t>5999084955885</t>
        </is>
      </c>
      <c r="G628" s="4" t="inlineStr">
        <is>
          <t xml:space="preserve"> • prevádzka: ultrazvuk 
 •  
 • N/A: 20-30 ml / h (podľa režimu a prostredia) 
 • nádrž na vodu: 300 ml 
 •  
 • rozmery: ∅168 x 87 mm 
 • napájanie: sieťový adaptér na vnútorné použitie je príslušenstvom</t>
        </is>
      </c>
    </row>
    <row r="629">
      <c r="A629" s="3" t="inlineStr">
        <is>
          <t>AD 200</t>
        </is>
      </c>
      <c r="B629" s="2" t="inlineStr">
        <is>
          <t>Aromatický difuzér</t>
        </is>
      </c>
      <c r="C629" s="1" t="n">
        <v>36.99</v>
      </c>
      <c r="D629" s="7" t="n">
        <f>HYPERLINK("https://www.somogyi.sk/product/aromaticky-difuzer-ad-200-17565","https://www.somogyi.sk/product/aromaticky-difuzer-ad-200-17565")</f>
        <v>0.0</v>
      </c>
      <c r="E629" s="7" t="n">
        <f>HYPERLINK("https://www.somogyi.sk/productimages/product_main_images/small/17565.jpg","https://www.somogyi.sk/productimages/product_main_images/small/17565.jpg")</f>
        <v>0.0</v>
      </c>
      <c r="F629" s="2" t="inlineStr">
        <is>
          <t>5999084955878</t>
        </is>
      </c>
      <c r="G629" s="4" t="inlineStr">
        <is>
          <t xml:space="preserve"> • prevádzka: ultrazvuk 
 •  
 • materiál: bambusový podstavec a kryt 
 • N/A: 20-30 ml / h (podľa režimu a prostredia) 
 • nádrž na vodu: 200 ml 
 •  
 •  
 • rozmery: 102 x 102 x 130 mm</t>
        </is>
      </c>
    </row>
    <row r="630">
      <c r="A630" s="3" t="inlineStr">
        <is>
          <t>UHP 4000B</t>
        </is>
      </c>
      <c r="B630" s="2" t="inlineStr">
        <is>
          <t>Ultrazvukový studený zvlhčovač vzduchu</t>
        </is>
      </c>
      <c r="C630" s="1" t="n">
        <v>57.99</v>
      </c>
      <c r="D630" s="7" t="n">
        <f>HYPERLINK("https://www.somogyi.sk/product/ultrazvukovy-studeny-zvlhcovac-vzduchu-uhp-4000b-17912","https://www.somogyi.sk/product/ultrazvukovy-studeny-zvlhcovac-vzduchu-uhp-4000b-17912")</f>
        <v>0.0</v>
      </c>
      <c r="E630" s="7" t="n">
        <f>HYPERLINK("https://www.somogyi.sk/productimages/product_main_images/small/17912.jpg","https://www.somogyi.sk/productimages/product_main_images/small/17912.jpg")</f>
        <v>0.0</v>
      </c>
      <c r="F630" s="2" t="inlineStr">
        <is>
          <t>5999084959340</t>
        </is>
      </c>
      <c r="G630" s="4" t="inlineStr">
        <is>
          <t xml:space="preserve"> • dotykové tlačidlo 
 • antibakteriálna nádoba na vodu 
 • kapacita nádoby: 4 l 
 • nastaviteľné 3 stupne zvlhčovania, kontrolky rôznych farieb 
 • zvlhčovanie: max. 250 ml / h 
 • pre miestnosť: max. 40 m2 
 • okienko nádoby na vodu 
 • pri nedostatku vody sa vypne 
 • mimoriadne nízka hlučnosť: 35 dB(A) 
 • výkon: 30 W</t>
        </is>
      </c>
    </row>
    <row r="631">
      <c r="A631" s="3" t="inlineStr">
        <is>
          <t>AD 200F</t>
        </is>
      </c>
      <c r="B631" s="2" t="inlineStr">
        <is>
          <t>Aromatický difuzér, flame" efekt</t>
        </is>
      </c>
      <c r="C631" s="1" t="n">
        <v>47.99</v>
      </c>
      <c r="D631" s="7" t="n">
        <f>HYPERLINK("https://www.somogyi.sk/product/aromaticky-difuzer-flame-efekt-ad-200f-17847","https://www.somogyi.sk/product/aromaticky-difuzer-flame-efekt-ad-200f-17847")</f>
        <v>0.0</v>
      </c>
      <c r="E631" s="7" t="n">
        <f>HYPERLINK("https://www.somogyi.sk/productimages/product_main_images/small/17847.jpg","https://www.somogyi.sk/productimages/product_main_images/small/17847.jpg")</f>
        <v>0.0</v>
      </c>
      <c r="F631" s="2" t="inlineStr">
        <is>
          <t>5999084958695</t>
        </is>
      </c>
      <c r="G631" s="4" t="inlineStr">
        <is>
          <t xml:space="preserve"> • ultrazvukový studený zvlhčovač vzduchu, aromatický difuzér s teplým bielym plameňovým efektom a dekoračným svetlom. 
 • kapacita nádoby: 200 ml 
 • voliteľné dve svietivosti alebo pulzujúce svetlo 
 • samostatné používanie zvlhčovania 
 • pri nedostatku vody sa vypne zvlhčovanie aj osvetlenie 
 • sieťový adaptér je príslušenstvom 
 • rozmery: 20 x 13 x 8 cm</t>
        </is>
      </c>
    </row>
    <row r="632">
      <c r="A632" s="3" t="inlineStr">
        <is>
          <t>AD 280</t>
        </is>
      </c>
      <c r="B632" s="2" t="inlineStr">
        <is>
          <t>Aromatický difuzér, ultrazvukový</t>
        </is>
      </c>
      <c r="C632" s="1" t="n">
        <v>53.99</v>
      </c>
      <c r="D632" s="7" t="n">
        <f>HYPERLINK("https://www.somogyi.sk/product/aromaticky-difuzer-ultrazvukovy-ad-280-17569","https://www.somogyi.sk/product/aromaticky-difuzer-ultrazvukovy-ad-280-17569")</f>
        <v>0.0</v>
      </c>
      <c r="E632" s="7" t="n">
        <f>HYPERLINK("https://www.somogyi.sk/productimages/product_main_images/small/17569.jpg","https://www.somogyi.sk/productimages/product_main_images/small/17569.jpg")</f>
        <v>0.0</v>
      </c>
      <c r="F632" s="2" t="inlineStr">
        <is>
          <t>5999084955915</t>
        </is>
      </c>
      <c r="G632" s="4" t="inlineStr">
        <is>
          <t xml:space="preserve"> • prevádzka: ultrazvuk 
 •  
 • N/A: 15 – 20 ml / h (podľa režimu a prostredia) 
 • nádrž na vodu: 280 ml 
 •  
 • rozmery: ∅146 x 132 mm</t>
        </is>
      </c>
    </row>
    <row r="633">
      <c r="A633" s="3" t="inlineStr">
        <is>
          <t>AD 400 WIFI</t>
        </is>
      </c>
      <c r="B633" s="2" t="inlineStr">
        <is>
          <t>Aromatický difuzér, ultrazvukový</t>
        </is>
      </c>
      <c r="C633" s="1" t="n">
        <v>47.99</v>
      </c>
      <c r="D633" s="7" t="n">
        <f>HYPERLINK("https://www.somogyi.sk/product/aromaticky-difuzer-ultrazvukovy-ad-400-wifi-17564","https://www.somogyi.sk/product/aromaticky-difuzer-ultrazvukovy-ad-400-wifi-17564")</f>
        <v>0.0</v>
      </c>
      <c r="E633" s="7" t="n">
        <f>HYPERLINK("https://www.somogyi.sk/productimages/product_main_images/small/17564.jpg","https://www.somogyi.sk/productimages/product_main_images/small/17564.jpg")</f>
        <v>0.0</v>
      </c>
      <c r="F633" s="2" t="inlineStr">
        <is>
          <t>5999084955861</t>
        </is>
      </c>
      <c r="G633" s="4" t="inlineStr">
        <is>
          <t xml:space="preserve"> • wifi: 2,4 GHz; 802.11 b/g/n 
 • N/A: Tuya Smart (IOS 7.0→, Android 4.0→) 
 • prevádzka: ultrazvuk 
 •  
 • N/A: 23-70 ml / h (podľa režimu a prostredia) 
 • nádrž na vodu: 400 ml 
 • časovač: 1h / 3h / 6h / priebežný 
 •  
 • rozmery: ∅178 x 97 mm 
 • napájanie: sieťový adaptér na vnútorné použitie je príslušenstvom</t>
        </is>
      </c>
    </row>
    <row r="634">
      <c r="A634" s="3" t="inlineStr">
        <is>
          <t>AD 500</t>
        </is>
      </c>
      <c r="B634" s="2" t="inlineStr">
        <is>
          <t>Aromatický difuzér, ultrazvukový</t>
        </is>
      </c>
      <c r="C634" s="1" t="n">
        <v>65.99</v>
      </c>
      <c r="D634" s="7" t="n">
        <f>HYPERLINK("https://www.somogyi.sk/product/aromaticky-difuzer-ultrazvukovy-ad-500-17568","https://www.somogyi.sk/product/aromaticky-difuzer-ultrazvukovy-ad-500-17568")</f>
        <v>0.0</v>
      </c>
      <c r="E634" s="7" t="n">
        <f>HYPERLINK("https://www.somogyi.sk/productimages/product_main_images/small/17568.jpg","https://www.somogyi.sk/productimages/product_main_images/small/17568.jpg")</f>
        <v>0.0</v>
      </c>
      <c r="F634" s="2" t="inlineStr">
        <is>
          <t>5999084955908</t>
        </is>
      </c>
      <c r="G634" s="4" t="inlineStr">
        <is>
          <t xml:space="preserve"> • prevádzka: ultrazvuk 
 •  
 • N/A: 20-30 ml / h (podľa režimu a prostredia) 
 • nádrž na vodu: 500 ml 
 • časovač: časovač vypnutia 1/3/6 h 
 • rozmery: ∅180 x 157 mm 
 • napájanie: sieťový adaptér na vnútorné použitie je príslušenstvom</t>
        </is>
      </c>
    </row>
    <row r="635">
      <c r="A635" s="3" t="inlineStr">
        <is>
          <t>AD 15 P</t>
        </is>
      </c>
      <c r="B635" s="2" t="inlineStr">
        <is>
          <t>Aromatický difuzér, rozprašovač</t>
        </is>
      </c>
      <c r="C635" s="1" t="n">
        <v>42.99</v>
      </c>
      <c r="D635" s="7" t="n">
        <f>HYPERLINK("https://www.somogyi.sk/product/aromaticky-difuzer-rozprasovac-ad-15-p-17567","https://www.somogyi.sk/product/aromaticky-difuzer-rozprasovac-ad-15-p-17567")</f>
        <v>0.0</v>
      </c>
      <c r="E635" s="7" t="n">
        <f>HYPERLINK("https://www.somogyi.sk/productimages/product_main_images/small/17567.jpg","https://www.somogyi.sk/productimages/product_main_images/small/17567.jpg")</f>
        <v>0.0</v>
      </c>
      <c r="F635" s="2" t="inlineStr">
        <is>
          <t>5999084955892</t>
        </is>
      </c>
      <c r="G635" s="4" t="inlineStr">
        <is>
          <t xml:space="preserve"> • prevádzka: mechanický 
 •  
 •  
 • rozmery: ∅11,5 x 21 cm 
 • napájanie: sieťový adaptér na vnútorné použitie je príslušenstvom</t>
        </is>
      </c>
    </row>
    <row r="636">
      <c r="A636" s="6" t="inlineStr">
        <is>
          <t xml:space="preserve">   Detektor dymu a požiaru / Detektor prítomnosti CO</t>
        </is>
      </c>
      <c r="B636" s="6" t="inlineStr">
        <is>
          <t/>
        </is>
      </c>
      <c r="C636" s="6" t="inlineStr">
        <is>
          <t/>
        </is>
      </c>
      <c r="D636" s="6" t="inlineStr">
        <is>
          <t/>
        </is>
      </c>
      <c r="E636" s="6" t="inlineStr">
        <is>
          <t/>
        </is>
      </c>
      <c r="F636" s="6" t="inlineStr">
        <is>
          <t/>
        </is>
      </c>
      <c r="G636" s="6" t="inlineStr">
        <is>
          <t/>
        </is>
      </c>
    </row>
    <row r="637">
      <c r="A637" s="3" t="inlineStr">
        <is>
          <t>FA3322-INT</t>
        </is>
      </c>
      <c r="B637" s="2" t="inlineStr">
        <is>
          <t>FireAngel detektor CO - LCD</t>
        </is>
      </c>
      <c r="C637" s="1" t="n">
        <v>61.99</v>
      </c>
      <c r="D637" s="7" t="n">
        <f>HYPERLINK("https://www.somogyi.sk/product/fireangel-detektor-co-lcd-fa3322-int-17864","https://www.somogyi.sk/product/fireangel-detektor-co-lcd-fa3322-int-17864")</f>
        <v>0.0</v>
      </c>
      <c r="E637" s="7" t="n">
        <f>HYPERLINK("https://www.somogyi.sk/productimages/product_main_images/small/17864.jpg","https://www.somogyi.sk/productimages/product_main_images/small/17864.jpg")</f>
        <v>0.0</v>
      </c>
      <c r="F637" s="2" t="inlineStr">
        <is>
          <t>0816317005979</t>
        </is>
      </c>
      <c r="G637" s="4" t="inlineStr">
        <is>
          <t xml:space="preserve"> • informatívny LCD displej: áno 
 • zodpovedá norme EN 50291-1: štandard EN 50291-1 a EN 50291-2 
 • test CO-senzora: áno 
 • signalizácia konca životnosti: áno 
 • prevádzková teplota: -10 °C -  40 °C 
 • prístupná vlhkosť vzduchu: 30 - 90 % 
 • životnosť a záruka: očakávaná životnosť prístroja: 10 rokov, záruka: 5 rokov 
 • napájanie: zabudovaný akumulátor: 3 V, lítiový, očakávaná životnosť: 10 rokov 
 • rozmery: 12,9 x 7,6 x 3,1 cm</t>
        </is>
      </c>
    </row>
    <row r="638">
      <c r="A638" s="3" t="inlineStr">
        <is>
          <t>FA3328-INT</t>
        </is>
      </c>
      <c r="B638" s="2" t="inlineStr">
        <is>
          <t>FireAngel detektor CO - NFC</t>
        </is>
      </c>
      <c r="C638" s="1" t="n">
        <v>58.99</v>
      </c>
      <c r="D638" s="7" t="n">
        <f>HYPERLINK("https://www.somogyi.sk/product/fireangel-detektor-co-nfc-fa3328-int-17863","https://www.somogyi.sk/product/fireangel-detektor-co-nfc-fa3328-int-17863")</f>
        <v>0.0</v>
      </c>
      <c r="E638" s="7" t="n">
        <f>HYPERLINK("https://www.somogyi.sk/productimages/product_main_images/small/17863.jpg","https://www.somogyi.sk/productimages/product_main_images/small/17863.jpg")</f>
        <v>0.0</v>
      </c>
      <c r="F638" s="2" t="inlineStr">
        <is>
          <t>0816317006013</t>
        </is>
      </c>
      <c r="G638" s="4" t="inlineStr">
        <is>
          <t xml:space="preserve"> • LED kontrolka: áno 
 • zodpovedá norme EN 50291-1: štandard EN 50291-1 a EN 50291-2 
 • test CO-senzora: áno 
 • signalizácia konca životnosti: áno 
 • prevádzková teplota: -10 °C -  40 °C 
 • prístupná vlhkosť vzduchu: 30 - 90 % 
 • životnosť a záruka: očakávaná životnosť prístroja: 10 rokov, záruka: 5 rokov 
 • napájanie: zabudovaný akumulátor: 3 V, lítiový, očakávaná životnosť: 10 rokov 
 • rozmery: 13,2 x 6,9 x 3,1 cm</t>
        </is>
      </c>
    </row>
    <row r="639">
      <c r="A639" s="3" t="inlineStr">
        <is>
          <t>FA3820-HUR</t>
        </is>
      </c>
      <c r="B639" s="2" t="inlineStr">
        <is>
          <t>FireAngel detektor CO</t>
        </is>
      </c>
      <c r="C639" s="1" t="n">
        <v>45.99</v>
      </c>
      <c r="D639" s="7" t="n">
        <f>HYPERLINK("https://www.somogyi.sk/product/fireangel-detektor-co-fa3820-hur-17859","https://www.somogyi.sk/product/fireangel-detektor-co-fa3820-hur-17859")</f>
        <v>0.0</v>
      </c>
      <c r="E639" s="7" t="n">
        <f>HYPERLINK("https://www.somogyi.sk/productimages/product_main_images/small/17859.jpg","https://www.somogyi.sk/productimages/product_main_images/small/17859.jpg")</f>
        <v>0.0</v>
      </c>
      <c r="F639" s="2" t="inlineStr">
        <is>
          <t>0816317006525</t>
        </is>
      </c>
      <c r="G639" s="4" t="inlineStr">
        <is>
          <t xml:space="preserve"> • podľa štandardu EN 50291-1 a EN 50291-2 
 • elektrochemický senzor 
 • upozornenie vetrania 
 • testovací režim detekcie CO 
 • signalizácia konca životnosti prístroja 
 • napájanie: vstavaný, nevymeniteľný lítiový akumulátor, očakávaná doba prevádzky: 10 rokov 
 • prevádzková teplota: -10°C - + 40°C 
 • prevádzková relatívna vlhkosť vzduchu: 30-90 % 
 • očakávaná životnosť prístroja: 10 rokov 
 • záruka: 5 rokov 
 • rozmery: 12,5 x 6,7 x 3,3 cm</t>
        </is>
      </c>
    </row>
    <row r="640">
      <c r="A640" s="3" t="inlineStr">
        <is>
          <t>SCB10-INT</t>
        </is>
      </c>
      <c r="B640" s="2" t="inlineStr">
        <is>
          <t>FireAngel detektor CO a dymu</t>
        </is>
      </c>
      <c r="C640" s="1" t="n">
        <v>74.99</v>
      </c>
      <c r="D640" s="7" t="n">
        <f>HYPERLINK("https://www.somogyi.sk/product/fireangel-detektor-co-a-dymu-scb10-int-17133","https://www.somogyi.sk/product/fireangel-detektor-co-a-dymu-scb10-int-17133")</f>
        <v>0.0</v>
      </c>
      <c r="E640" s="7" t="n">
        <f>HYPERLINK("https://www.somogyi.sk/productimages/product_main_images/small/17133.jpg","https://www.somogyi.sk/productimages/product_main_images/small/17133.jpg")</f>
        <v>0.0</v>
      </c>
      <c r="F640" s="2" t="inlineStr">
        <is>
          <t>0816317004972</t>
        </is>
      </c>
      <c r="G640" s="4" t="inlineStr">
        <is>
          <t xml:space="preserve"> • LED kontrolka: áno 
 • zodpovedá norme EN 50291-1: áno 
 • vhodný aj do kúpeľne: áno 
 • hlasitosť alarmu: 85 dB (z vzdialenosti 3 m) 
 • test CO-senzora: áno 
 • signalizácia konca životnosti: áno 
 • prevádzková teplota: 0 °C -  40 °C 
 • prístupná vlhkosť vzduchu: 30 - 93 % 
 • napájanie: zabudovaný akumulátor: 3 V, lítiový, predpokladaný čas prevádzky: 10 rokov 
 • rozmery: ∅13,3 x 4,1 cm 
 • ďalšie informácie: štandard EN 50291-1, EN 50291-2 a EN 14604</t>
        </is>
      </c>
    </row>
    <row r="641">
      <c r="A641" s="3" t="inlineStr">
        <is>
          <t>FA SP 3</t>
        </is>
      </c>
      <c r="B641" s="2" t="inlineStr">
        <is>
          <t>4 kusová sada FireAngel bez detektoru CO</t>
        </is>
      </c>
      <c r="C641" s="1" t="n">
        <v>99.99</v>
      </c>
      <c r="D641" s="7" t="n">
        <f>HYPERLINK("https://www.somogyi.sk/product/4-kusova-sada-fireangel-bez-detektoru-co-fa-sp-3-18249","https://www.somogyi.sk/product/4-kusova-sada-fireangel-bez-detektoru-co-fa-sp-3-18249")</f>
        <v>0.0</v>
      </c>
      <c r="E641" s="7" t="n">
        <f>HYPERLINK("https://www.somogyi.sk/productimages/product_main_images/small/18249.jpg","https://www.somogyi.sk/productimages/product_main_images/small/18249.jpg")</f>
        <v>0.0</v>
      </c>
      <c r="F641" s="2" t="inlineStr">
        <is>
          <t>5999084962715</t>
        </is>
      </c>
      <c r="G641" s="4" t="inlineStr">
        <is>
          <t xml:space="preserve"> • N/A: K produktom v balení je k dispozícii aj návod na použitie a návod na inštaláciu v maďarskom jazyku.</t>
        </is>
      </c>
    </row>
    <row r="642">
      <c r="A642" s="3" t="inlineStr">
        <is>
          <t>FA SP 2</t>
        </is>
      </c>
      <c r="B642" s="2" t="inlineStr">
        <is>
          <t>4 kusová sada FireAngel s detektorom CO</t>
        </is>
      </c>
      <c r="C642" s="1" t="n">
        <v>115.9</v>
      </c>
      <c r="D642" s="7" t="n">
        <f>HYPERLINK("https://www.somogyi.sk/product/4-kusova-sada-fireangel-s-detektorom-co-fa-sp-2-18248","https://www.somogyi.sk/product/4-kusova-sada-fireangel-s-detektorom-co-fa-sp-2-18248")</f>
        <v>0.0</v>
      </c>
      <c r="E642" s="7" t="n">
        <f>HYPERLINK("https://www.somogyi.sk/productimages/product_main_images/small/18248.jpg","https://www.somogyi.sk/productimages/product_main_images/small/18248.jpg")</f>
        <v>0.0</v>
      </c>
      <c r="F642" s="2" t="inlineStr">
        <is>
          <t>5999084962708</t>
        </is>
      </c>
      <c r="G642" s="4" t="inlineStr">
        <is>
          <t xml:space="preserve"> • N/A: K produktom v balení je k dispozícii aj návod na použitie a návod na inštaláciu v maďarskom jazyku.</t>
        </is>
      </c>
    </row>
    <row r="643">
      <c r="A643" s="3" t="inlineStr">
        <is>
          <t>FA SP 1</t>
        </is>
      </c>
      <c r="B643" s="2" t="inlineStr">
        <is>
          <t>6 kusová sada FireAngel s detektorom CO</t>
        </is>
      </c>
      <c r="C643" s="1" t="n">
        <v>154.9</v>
      </c>
      <c r="D643" s="7" t="n">
        <f>HYPERLINK("https://www.somogyi.sk/product/6-kusova-sada-fireangel-s-detektorom-co-fa-sp-1-18247","https://www.somogyi.sk/product/6-kusova-sada-fireangel-s-detektorom-co-fa-sp-1-18247")</f>
        <v>0.0</v>
      </c>
      <c r="E643" s="7" t="n">
        <f>HYPERLINK("https://www.somogyi.sk/productimages/product_main_images/small/18247.jpg","https://www.somogyi.sk/productimages/product_main_images/small/18247.jpg")</f>
        <v>0.0</v>
      </c>
      <c r="F643" s="2" t="inlineStr">
        <is>
          <t>5999084962692</t>
        </is>
      </c>
      <c r="G643" s="4" t="inlineStr">
        <is>
          <t xml:space="preserve"> • N/A: K produktom v balení je k dispozícii aj návod na použitie a návod na inštaláciu aj v maďarskom jazyku.</t>
        </is>
      </c>
    </row>
    <row r="644">
      <c r="A644" s="6" t="inlineStr">
        <is>
          <t xml:space="preserve">   Detektor dymu a požiaru / Detektor dymu, požiaru</t>
        </is>
      </c>
      <c r="B644" s="6" t="inlineStr">
        <is>
          <t/>
        </is>
      </c>
      <c r="C644" s="6" t="inlineStr">
        <is>
          <t/>
        </is>
      </c>
      <c r="D644" s="6" t="inlineStr">
        <is>
          <t/>
        </is>
      </c>
      <c r="E644" s="6" t="inlineStr">
        <is>
          <t/>
        </is>
      </c>
      <c r="F644" s="6" t="inlineStr">
        <is>
          <t/>
        </is>
      </c>
      <c r="G644" s="6" t="inlineStr">
        <is>
          <t/>
        </is>
      </c>
    </row>
    <row r="645">
      <c r="A645" s="3" t="inlineStr">
        <is>
          <t>SMO 10</t>
        </is>
      </c>
      <c r="B645" s="2" t="inlineStr">
        <is>
          <t>Optický detektor dymu s akumulátorom</t>
        </is>
      </c>
      <c r="C645" s="1" t="n">
        <v>21.99</v>
      </c>
      <c r="D645" s="7" t="n">
        <f>HYPERLINK("https://www.somogyi.sk/product/opticky-detektor-dymu-s-akumulatorom-smo-10-17785","https://www.somogyi.sk/product/opticky-detektor-dymu-s-akumulatorom-smo-10-17785")</f>
        <v>0.0</v>
      </c>
      <c r="E645" s="7" t="n">
        <f>HYPERLINK("https://www.somogyi.sk/productimages/product_main_images/small/17785.jpg","https://www.somogyi.sk/productimages/product_main_images/small/17785.jpg")</f>
        <v>0.0</v>
      </c>
      <c r="F645" s="2" t="inlineStr">
        <is>
          <t>5999084958077</t>
        </is>
      </c>
      <c r="G645" s="4" t="inlineStr">
        <is>
          <t xml:space="preserve"> • prevádzková teplota: -10°C ... ~55°C 
 • životnosť: 10 rokov 
 •  
 •  
 • napájanie: zabudovaný akumulátor 
 • rozmery: ∅52 x 52 mm</t>
        </is>
      </c>
    </row>
    <row r="646">
      <c r="A646" s="3" t="inlineStr">
        <is>
          <t>FA6115-INT</t>
        </is>
      </c>
      <c r="B646" s="2" t="inlineStr">
        <is>
          <t>FireAngel detektor dymu</t>
        </is>
      </c>
      <c r="C646" s="1" t="n">
        <v>24.99</v>
      </c>
      <c r="D646" s="7" t="n">
        <f>HYPERLINK("https://www.somogyi.sk/product/fireangel-detektor-dymu-fa6115-int-17909","https://www.somogyi.sk/product/fireangel-detektor-dymu-fa6115-int-17909")</f>
        <v>0.0</v>
      </c>
      <c r="E646" s="7" t="n">
        <f>HYPERLINK("https://www.somogyi.sk/productimages/product_main_images/small/17909.jpg","https://www.somogyi.sk/productimages/product_main_images/small/17909.jpg")</f>
        <v>0.0</v>
      </c>
      <c r="F646" s="2" t="inlineStr">
        <is>
          <t>0816317006419</t>
        </is>
      </c>
      <c r="G646" s="4" t="inlineStr">
        <is>
          <t xml:space="preserve"> • prevádzková teplota: 4 °C -  38 °C 
 • N/A: 5 rokov 
 • prevedenie: zabudovaný optický detektor dymu 
 • životnosť: očakávaná životnosť prístroja: 10 rokov 
 • napájanie: 2 x 1,5 V (AA), vymeniteľné (2 sú príslušenstvom) ; očakávaná životnosť batérie: 3 roky 
 • rozmery: ∅11,8 x 3,2 cm 
 • ďalšie informácie: štandard EN 14604</t>
        </is>
      </c>
    </row>
    <row r="647">
      <c r="A647" s="3" t="inlineStr">
        <is>
          <t>FA6120-INT</t>
        </is>
      </c>
      <c r="B647" s="2" t="inlineStr">
        <is>
          <t>FireAngel detektor dymu</t>
        </is>
      </c>
      <c r="C647" s="1" t="n">
        <v>27.99</v>
      </c>
      <c r="D647" s="7" t="n">
        <f>HYPERLINK("https://www.somogyi.sk/product/fireangel-detektor-dymu-fa6120-int-17908","https://www.somogyi.sk/product/fireangel-detektor-dymu-fa6120-int-17908")</f>
        <v>0.0</v>
      </c>
      <c r="E647" s="7" t="n">
        <f>HYPERLINK("https://www.somogyi.sk/productimages/product_main_images/small/17908.jpg","https://www.somogyi.sk/productimages/product_main_images/small/17908.jpg")</f>
        <v>0.0</v>
      </c>
      <c r="F647" s="2" t="inlineStr">
        <is>
          <t>0816317006402</t>
        </is>
      </c>
      <c r="G647" s="4" t="inlineStr">
        <is>
          <t xml:space="preserve"> • prevádzková teplota: 4 °C -  38 °C 
 • N/A: 5 rokov 
 • prevedenie: zabudovaný optický detektor dymu 
 • životnosť: očakávaná životnosť prístroja: 10 rokov 
 • napájanie: zabudovaný akumulátor: 3 V, lítiový, očakávaná životnosť: 10 rokov 
 • rozmery: ∅11,8 x 3,2 cm 
 • ďalšie informácie: štandard EN 14604</t>
        </is>
      </c>
    </row>
    <row r="648">
      <c r="A648" s="3" t="inlineStr">
        <is>
          <t>FA6215-INT</t>
        </is>
      </c>
      <c r="B648" s="2" t="inlineStr">
        <is>
          <t>FireAngel detektor tepla, batériový</t>
        </is>
      </c>
      <c r="C648" s="1" t="n">
        <v>35.99</v>
      </c>
      <c r="D648" s="7" t="n">
        <f>HYPERLINK("https://www.somogyi.sk/product/fireangel-detektor-tepla-bateriovy-fa6215-int-17987","https://www.somogyi.sk/product/fireangel-detektor-tepla-bateriovy-fa6215-int-17987")</f>
        <v>0.0</v>
      </c>
      <c r="E648" s="7" t="n">
        <f>HYPERLINK("https://www.somogyi.sk/productimages/product_main_images/small/17987.jpg","https://www.somogyi.sk/productimages/product_main_images/small/17987.jpg")</f>
        <v>0.0</v>
      </c>
      <c r="F648" s="2" t="inlineStr">
        <is>
          <t>0816317006396</t>
        </is>
      </c>
      <c r="G648" s="4" t="inlineStr">
        <is>
          <t xml:space="preserve"> • dosah: max. 5,3 m 
 • prevádzková teplota: 4 °C -  38 °C 
 • N/A: 5 rokov 
 •  
 •  
 • napájanie: 2 x 1,5 V (AA), vymeniteľný (2 ks sú príslušenstvom) 
 • rozmery: ∅11,8 x 4,1 cm</t>
        </is>
      </c>
    </row>
    <row r="649">
      <c r="A649" s="3" t="inlineStr">
        <is>
          <t>FA6111-INT</t>
        </is>
      </c>
      <c r="B649" s="2" t="inlineStr">
        <is>
          <t>FireAngel detektor dymu</t>
        </is>
      </c>
      <c r="C649" s="1" t="n">
        <v>30.99</v>
      </c>
      <c r="D649" s="7" t="n">
        <f>HYPERLINK("https://www.somogyi.sk/product/fireangel-detektor-dymu-fa6111-int-17910","https://www.somogyi.sk/product/fireangel-detektor-dymu-fa6111-int-17910")</f>
        <v>0.0</v>
      </c>
      <c r="E649" s="7" t="n">
        <f>HYPERLINK("https://www.somogyi.sk/productimages/product_main_images/small/17910.jpg","https://www.somogyi.sk/productimages/product_main_images/small/17910.jpg")</f>
        <v>0.0</v>
      </c>
      <c r="F649" s="2" t="inlineStr">
        <is>
          <t>0816317006426</t>
        </is>
      </c>
      <c r="G649" s="4" t="inlineStr">
        <is>
          <t xml:space="preserve"> • prevádzková teplota: 4 °C -  38 °C 
 • N/A: 5 rokov 
 • prevedenie: zabudovaný optický detektor dymu 
 • životnosť: očakávaná životnosť prístroja: 10 rokov 
 • charakteristiky: vstavané svetlo únikovej cesty • testovací režim • signalizácia konca životnosti batérie 
 • napájanie: 2 x 1,5 V (AA), vymeniteľné (2 sú príslušenstvom) ; očakávaná životnosť batérie: 3 roky 
 • rozmery: ∅11,8 x 3,2 cm 
 • ďalšie informácie: štandard EN 14604</t>
        </is>
      </c>
    </row>
    <row r="650">
      <c r="A650" s="3" t="inlineStr">
        <is>
          <t>W2-MODULE</t>
        </is>
      </c>
      <c r="B650" s="2" t="inlineStr">
        <is>
          <t>FireAngel W2 modul</t>
        </is>
      </c>
      <c r="C650" s="1" t="n">
        <v>49.99</v>
      </c>
      <c r="D650" s="7" t="n">
        <f>HYPERLINK("https://www.somogyi.sk/product/fireangel-w2-modul-w2-module-17555","https://www.somogyi.sk/product/fireangel-w2-modul-w2-module-17555")</f>
        <v>0.0</v>
      </c>
      <c r="E650" s="7" t="n">
        <f>HYPERLINK("https://www.somogyi.sk/productimages/product_main_images/small/17555.jpg","https://www.somogyi.sk/productimages/product_main_images/small/17555.jpg")</f>
        <v>0.0</v>
      </c>
      <c r="F650" s="2" t="inlineStr">
        <is>
          <t>0816317002169</t>
        </is>
      </c>
      <c r="G650" s="4" t="inlineStr">
        <is>
          <t xml:space="preserve"> • dosah: 200 m 
 • prevádzková frekvencia: 868 MHz 
 • charakteristiky: snímače vybavené takýmto modulom môžu byť vzájomne prepojené. Ak jeden z produktov pripojených k sieti vydá alarm, všetky ostatné tiež dávajú alarm / vďaka vlastnému zdroju napájania nemá prevádzka modulu žiadny vplyv na prevádzkovú dobu pripojeného zariadenia 
 • napájanie: zabudovaný akumulátor: 3 V, lítiový (prevádzková doba: 10 rokov)</t>
        </is>
      </c>
    </row>
    <row r="651">
      <c r="A651" s="3" t="inlineStr">
        <is>
          <t>HT-630-NEUT</t>
        </is>
      </c>
      <c r="B651" s="2" t="inlineStr">
        <is>
          <t>FireAngel detektor požiaru</t>
        </is>
      </c>
      <c r="C651" s="1" t="n">
        <v>49.99</v>
      </c>
      <c r="D651" s="7" t="n">
        <f>HYPERLINK("https://www.somogyi.sk/product/fireangel-detektor-poziaru-ht-630-neut-17554","https://www.somogyi.sk/product/fireangel-detektor-poziaru-ht-630-neut-17554")</f>
        <v>0.0</v>
      </c>
      <c r="E651" s="7" t="n">
        <f>HYPERLINK("https://www.somogyi.sk/productimages/product_main_images/small/17554.jpg","https://www.somogyi.sk/productimages/product_main_images/small/17554.jpg")</f>
        <v>0.0</v>
      </c>
      <c r="F651" s="2" t="inlineStr">
        <is>
          <t>0816317003968</t>
        </is>
      </c>
      <c r="G651" s="4" t="inlineStr">
        <is>
          <t xml:space="preserve"> • prevedenie: zabudovaný Thermistek senzor tepla 
 • napájanie: zabudovaný akumulátor: 3 V, lítiový (prevádzková doba: 10 rokov)</t>
        </is>
      </c>
    </row>
    <row r="652">
      <c r="A652" s="3" t="inlineStr">
        <is>
          <t>SMO 01</t>
        </is>
      </c>
      <c r="B652" s="2" t="inlineStr">
        <is>
          <t>Optický detektor dymu</t>
        </is>
      </c>
      <c r="C652" s="1" t="n">
        <v>10.49</v>
      </c>
      <c r="D652" s="7" t="n">
        <f>HYPERLINK("https://www.somogyi.sk/product/opticky-detektor-dymu-smo-01-15740","https://www.somogyi.sk/product/opticky-detektor-dymu-smo-01-15740")</f>
        <v>0.0</v>
      </c>
      <c r="E652" s="7" t="n">
        <f>HYPERLINK("https://www.somogyi.sk/productimages/product_main_images/small/15740.jpg","https://www.somogyi.sk/productimages/product_main_images/small/15740.jpg")</f>
        <v>0.0</v>
      </c>
      <c r="F652" s="2" t="inlineStr">
        <is>
          <t>5999084937744</t>
        </is>
      </c>
      <c r="G652" s="4" t="inlineStr">
        <is>
          <t xml:space="preserve"> • prevádzková teplota: 5°C - 55°C 
 • prevedenie: optický 
 • životnosť: 5 rokov 
 • hlasitosť alarmu: 85 dB 
 • charakteristiky: funkcia stíšenia 
 • napájanie: 9 V batéria 
 • rozmery: Ø101 x 34 mm</t>
        </is>
      </c>
    </row>
    <row r="653">
      <c r="A653" s="3" t="inlineStr">
        <is>
          <t>ST-630-INT</t>
        </is>
      </c>
      <c r="B653" s="2" t="inlineStr">
        <is>
          <t>FireAngel Kombinovaný detektor tepla dymu</t>
        </is>
      </c>
      <c r="C653" s="1" t="n">
        <v>51.99</v>
      </c>
      <c r="D653" s="7" t="n">
        <f>HYPERLINK("https://www.somogyi.sk/product/fireangel-kombinovany-detektor-tepla-dymu-st-630-int-17553","https://www.somogyi.sk/product/fireangel-kombinovany-detektor-tepla-dymu-st-630-int-17553")</f>
        <v>0.0</v>
      </c>
      <c r="E653" s="7" t="n">
        <f>HYPERLINK("https://www.somogyi.sk/productimages/product_main_images/small/17553.jpg","https://www.somogyi.sk/productimages/product_main_images/small/17553.jpg")</f>
        <v>0.0</v>
      </c>
      <c r="F653" s="2" t="inlineStr">
        <is>
          <t>0816317004491</t>
        </is>
      </c>
      <c r="G653" s="4" t="inlineStr">
        <is>
          <t xml:space="preserve"> • prevedenie: zabudovaný optický senzor 
 • napájanie: zabudovaný akumulátor: 3 V, lítiový (prevádzková doba: 10 rokov)</t>
        </is>
      </c>
    </row>
    <row r="654">
      <c r="A654" s="3" t="inlineStr">
        <is>
          <t>ST-622-INT</t>
        </is>
      </c>
      <c r="B654" s="2" t="inlineStr">
        <is>
          <t>FireAngel Kombinovaný detektor tepla dymu</t>
        </is>
      </c>
      <c r="C654" s="1" t="n">
        <v>33.99</v>
      </c>
      <c r="D654" s="7" t="n">
        <f>HYPERLINK("https://www.somogyi.sk/product/fireangel-kombinovany-detektor-tepla-dymu-st-622-int-17132","https://www.somogyi.sk/product/fireangel-kombinovany-detektor-tepla-dymu-st-622-int-17132")</f>
        <v>0.0</v>
      </c>
      <c r="E654" s="7" t="n">
        <f>HYPERLINK("https://www.somogyi.sk/productimages/product_main_images/small/17132.jpg","https://www.somogyi.sk/productimages/product_main_images/small/17132.jpg")</f>
        <v>0.0</v>
      </c>
      <c r="F654" s="2" t="inlineStr">
        <is>
          <t>0816317003760</t>
        </is>
      </c>
      <c r="G654" s="4" t="inlineStr">
        <is>
          <t xml:space="preserve"> • napájanie: zabudovaný akumulátor: 3 V, lítiový 
 • rozmery: ∅13 x 3,3 cm</t>
        </is>
      </c>
    </row>
    <row r="655">
      <c r="A655" s="6" t="inlineStr">
        <is>
          <t xml:space="preserve">   Vianočné dekoračné osvetlenie / Spojovateľná adaptérová séria</t>
        </is>
      </c>
      <c r="B655" s="6" t="inlineStr">
        <is>
          <t/>
        </is>
      </c>
      <c r="C655" s="6" t="inlineStr">
        <is>
          <t/>
        </is>
      </c>
      <c r="D655" s="6" t="inlineStr">
        <is>
          <t/>
        </is>
      </c>
      <c r="E655" s="6" t="inlineStr">
        <is>
          <t/>
        </is>
      </c>
      <c r="F655" s="6" t="inlineStr">
        <is>
          <t/>
        </is>
      </c>
      <c r="G655" s="6" t="inlineStr">
        <is>
          <t/>
        </is>
      </c>
    </row>
    <row r="656">
      <c r="A656" s="3" t="inlineStr">
        <is>
          <t>DLC 5M</t>
        </is>
      </c>
      <c r="B656" s="2" t="inlineStr">
        <is>
          <t>Napájací kábel/predlžovací kábel k výrobkom DLI/DLF/DLFJ, IP44</t>
        </is>
      </c>
      <c r="C656" s="1" t="n">
        <v>3.69</v>
      </c>
      <c r="D656" s="7" t="n">
        <f>HYPERLINK("https://www.somogyi.sk/product/napajaci-kabel-predlzovaci-kabel-k-vyrobkom-dli-dlf-dlfj-ip44-dlc-5m-14639","https://www.somogyi.sk/product/napajaci-kabel-predlzovaci-kabel-k-vyrobkom-dli-dlf-dlfj-ip44-dlc-5m-14639")</f>
        <v>0.0</v>
      </c>
      <c r="E656" s="7" t="n">
        <f>HYPERLINK("https://www.somogyi.sk/productimages/product_main_images/small/14639.jpg","https://www.somogyi.sk/productimages/product_main_images/small/14639.jpg")</f>
        <v>0.0</v>
      </c>
      <c r="F656" s="2" t="inlineStr">
        <is>
          <t>5999084926816</t>
        </is>
      </c>
      <c r="G656" s="4" t="inlineStr">
        <is>
          <t xml:space="preserve"> • umiestnenie: vonkajšie / vnútorné použitie 
 • zdroj svetla: - 
 • počet zdrojov svetla: - 
 • farba zdrojov svetla: - 
 • farba kábla: biela 
 • dĺžka: 5 m 
 • kompatibilita: so sériou DLI / DLF / DLFJ 
 • napájanie: - 
 • ďalšie informácie: Pripojiť sa smie len výhradne k sieťovému adaptéru (DLA 12W) a k sériám  DLF, DLI, DLFJ od firmy Somogyi Elektronic!</t>
        </is>
      </c>
    </row>
    <row r="657">
      <c r="A657" s="3" t="inlineStr">
        <is>
          <t>DLI 200/WH</t>
        </is>
      </c>
      <c r="B657" s="2" t="inlineStr">
        <is>
          <t>LED spojovateľný svietiaci reťazec, 10 m, IP44</t>
        </is>
      </c>
      <c r="C657" s="1" t="n">
        <v>18.99</v>
      </c>
      <c r="D657" s="7" t="n">
        <f>HYPERLINK("https://www.somogyi.sk/product/led-spojovatelny-svietiaci-retazec-10-m-ip44-dli-200-wh-14632","https://www.somogyi.sk/product/led-spojovatelny-svietiaci-retazec-10-m-ip44-dli-200-wh-14632")</f>
        <v>0.0</v>
      </c>
      <c r="E657" s="7" t="n">
        <f>HYPERLINK("https://www.somogyi.sk/productimages/product_main_images/small/14632.jpg","https://www.somogyi.sk/productimages/product_main_images/small/14632.jpg")</f>
        <v>0.0</v>
      </c>
      <c r="F657" s="2" t="inlineStr">
        <is>
          <t>5999084926748</t>
        </is>
      </c>
      <c r="G657" s="4" t="inlineStr">
        <is>
          <t xml:space="preserve"> • umiestnenie: vonkajšie / vnútorné použitie 
 • zdroj svetla: LED 
 • počet zdrojov svetla: 200 ks 
 • farba zdrojov svetla: studená biela 
 • farba kábla: biela 
 • dĺžka: 10 m 
 • kompatibilita: so sériou DLI / DLF / DLFJ 
 • napájanie: 31 V DC 
 • ďalšie informácie: Dodávame bez sieťového adaptéra (DLA 12W) a napájacieho kábla (DLC 5M)! Jedným sieťovým pripojením sa smie použiť len 1200 ks LED! Pre sieťové pripojenie použite adaptér a napájací prívod len od firmy Somogyi Elektronic!</t>
        </is>
      </c>
    </row>
    <row r="658">
      <c r="A658" s="3" t="inlineStr">
        <is>
          <t>DLFJ 400F/WW</t>
        </is>
      </c>
      <c r="B658" s="2" t="inlineStr">
        <is>
          <t>Spojovateľný LED svetelný záves cencúle</t>
        </is>
      </c>
      <c r="C658" s="1" t="n">
        <v>60.99</v>
      </c>
      <c r="D658" s="7" t="n">
        <f>HYPERLINK("https://www.somogyi.sk/product/spojovatelny-led-svetelny-zaves-cencule-dlfj-400f-ww-17325","https://www.somogyi.sk/product/spojovatelny-led-svetelny-zaves-cencule-dlfj-400f-ww-17325")</f>
        <v>0.0</v>
      </c>
      <c r="E658" s="7" t="n">
        <f>HYPERLINK("https://www.somogyi.sk/productimages/product_main_images/small/17325.jpg","https://www.somogyi.sk/productimages/product_main_images/small/17325.jpg")</f>
        <v>0.0</v>
      </c>
      <c r="F658" s="2" t="inlineStr">
        <is>
          <t>5999084953478</t>
        </is>
      </c>
      <c r="G658" s="4" t="inlineStr">
        <is>
          <t xml:space="preserve"> • umiestnenie: na vonkajšie / vnútorné použitie 
 • zdroj svetla: LED 
 • počet zdrojov svetla: 400 ks 
 • farba zdrojov svetla: teplá biela 
 • farba kábla: biela farba 
 • dĺžka: 10 m 
 • kompatibilita: s DLI / DLF / DLF 
 • napájanie: 31 V DC</t>
        </is>
      </c>
    </row>
    <row r="659">
      <c r="A659" s="3" t="inlineStr">
        <is>
          <t>DLFJ 400/WH</t>
        </is>
      </c>
      <c r="B659" s="2" t="inlineStr">
        <is>
          <t>Spojovateľný LED svetelný záves, cencúľ</t>
        </is>
      </c>
      <c r="C659" s="1" t="n">
        <v>57.99</v>
      </c>
      <c r="D659" s="7" t="n">
        <f>HYPERLINK("https://www.somogyi.sk/product/spojovatelny-led-svetelny-zaves-cencul-dlfj-400-wh-15622","https://www.somogyi.sk/product/spojovatelny-led-svetelny-zaves-cencul-dlfj-400-wh-15622")</f>
        <v>0.0</v>
      </c>
      <c r="E659" s="7" t="n">
        <f>HYPERLINK("https://www.somogyi.sk/productimages/product_main_images/small/15622.jpg","https://www.somogyi.sk/productimages/product_main_images/small/15622.jpg")</f>
        <v>0.0</v>
      </c>
      <c r="F659" s="2" t="inlineStr">
        <is>
          <t>5999084936563</t>
        </is>
      </c>
      <c r="G659" s="4" t="inlineStr">
        <is>
          <t xml:space="preserve"> • stále svetlo 
 • biely kábel 
 • Spojovateľná s výrobkami DLI, DLF, DLFJ, ktoré distribuuje spoločnosť Somogyi Elektronic 
 • Bez napájacieho kábla a adaptéra! 
 • Na sieťové pripojenie používajte výlučne sieťový adaptér typu DLA 12W a napájací kábel DLC 5M, 
 • ktoré distribuuje spoločnosť Somogyi Elektronic! 
 • 400 ks LED 
 • 3/7/4/6 reťazí, 20 skupín 
 • stále svetlo 
 • studená biela 
 • dĺžka reťazca: 10 m</t>
        </is>
      </c>
    </row>
    <row r="660">
      <c r="A660" s="3" t="inlineStr">
        <is>
          <t>DLFC 600/WW</t>
        </is>
      </c>
      <c r="B660" s="2" t="inlineStr">
        <is>
          <t>LED spojovateľný cluster svetelný záves</t>
        </is>
      </c>
      <c r="C660" s="1" t="n">
        <v>50.99</v>
      </c>
      <c r="D660" s="7" t="n">
        <f>HYPERLINK("https://www.somogyi.sk/product/led-spojovatelny-cluster-svetelny-zaves-dlfc-600-ww-18133","https://www.somogyi.sk/product/led-spojovatelny-cluster-svetelny-zaves-dlfc-600-ww-18133")</f>
        <v>0.0</v>
      </c>
      <c r="E660" s="7" t="n">
        <f>HYPERLINK("https://www.somogyi.sk/productimages/product_main_images/small/18133.jpg","https://www.somogyi.sk/productimages/product_main_images/small/18133.jpg")</f>
        <v>0.0</v>
      </c>
      <c r="F660" s="2" t="inlineStr">
        <is>
          <t>5999084961558</t>
        </is>
      </c>
      <c r="G660" s="4" t="inlineStr">
        <is>
          <t xml:space="preserve"> • na vonkajšie a vnútorné použitie 
 • 600 ks teplých bielych, stálych LED 
 • 10 reťazcov, 60 LED na jednom reťazci 
 • biely kábel 
 • Spojovateľný s výrobkami DLI, DLF, DLFJ, ktoré distribuuje spoločnosť Somogyi Elektronic. 
 • Bez napájacieho kábla a adaptéra! 
 • Na sieťové pripojenie používajte výlučne sieťový adaptér typu DLA 12W (31 V / 12 W) a napájací kábel DLC 5M,  ktoré distribuuje spoločnosť Somogyi Elektronic! 
 • S jedným sieťovým napojením sa môže prevádzkovať max. 1200 LED! 
 • rozmery: 2,7 x 0,6 m</t>
        </is>
      </c>
    </row>
    <row r="661">
      <c r="A661" s="3" t="inlineStr">
        <is>
          <t>DLFJ 200F/WW</t>
        </is>
      </c>
      <c r="B661" s="2" t="inlineStr">
        <is>
          <t>Spojovateľný LED svetelný záves cencúle</t>
        </is>
      </c>
      <c r="C661" s="1" t="n">
        <v>35.99</v>
      </c>
      <c r="D661" s="7" t="n">
        <f>HYPERLINK("https://www.somogyi.sk/product/spojovatelny-led-svetelny-zaves-cencule-dlfj-200f-ww-17324","https://www.somogyi.sk/product/spojovatelny-led-svetelny-zaves-cencule-dlfj-200f-ww-17324")</f>
        <v>0.0</v>
      </c>
      <c r="E661" s="7" t="n">
        <f>HYPERLINK("https://www.somogyi.sk/productimages/product_main_images/small/17324.jpg","https://www.somogyi.sk/productimages/product_main_images/small/17324.jpg")</f>
        <v>0.0</v>
      </c>
      <c r="F661" s="2" t="inlineStr">
        <is>
          <t>5999084953461</t>
        </is>
      </c>
      <c r="G661" s="4" t="inlineStr">
        <is>
          <t xml:space="preserve"> • umiestnenie: na vonkajšie / vnútorné použitie 
 • zdroj svetla: LED 
 • počet zdrojov svetla: 200 ks 
 • farba zdrojov svetla: teplá biela 
 • farba kábla: biela farba 
 • dĺžka: 5 m 
 • kompatibilita: s DLI / DLF / DLF 
 • napájanie: 31 V DC</t>
        </is>
      </c>
    </row>
    <row r="662">
      <c r="A662" s="3" t="inlineStr">
        <is>
          <t>DLT</t>
        </is>
      </c>
      <c r="B662" s="2" t="inlineStr">
        <is>
          <t>T rozbočovač k DLI, DLF</t>
        </is>
      </c>
      <c r="C662" s="1" t="n">
        <v>4.09</v>
      </c>
      <c r="D662" s="7" t="n">
        <f>HYPERLINK("https://www.somogyi.sk/product/t-rozbocovac-k-dli-dlf-dlt-17323","https://www.somogyi.sk/product/t-rozbocovac-k-dli-dlf-dlt-17323")</f>
        <v>0.0</v>
      </c>
      <c r="E662" s="7" t="n">
        <f>HYPERLINK("https://www.somogyi.sk/productimages/product_main_images/small/17323.jpg","https://www.somogyi.sk/productimages/product_main_images/small/17323.jpg")</f>
        <v>0.0</v>
      </c>
      <c r="F662" s="2" t="inlineStr">
        <is>
          <t>5999084953454</t>
        </is>
      </c>
      <c r="G662" s="4" t="inlineStr">
        <is>
          <t xml:space="preserve"> • umiestnenie: na vonkajšie / vnútorné použitie</t>
        </is>
      </c>
    </row>
    <row r="663">
      <c r="A663" s="3" t="inlineStr">
        <is>
          <t>DLF 210/WW</t>
        </is>
      </c>
      <c r="B663" s="2" t="inlineStr">
        <is>
          <t>LED svetelný záves, 2x1 m / 210 LED</t>
        </is>
      </c>
      <c r="C663" s="1" t="n">
        <v>25.99</v>
      </c>
      <c r="D663" s="7" t="n">
        <f>HYPERLINK("https://www.somogyi.sk/product/led-svetelny-zaves-2x1-m-210-led-dlf-210-ww-17815","https://www.somogyi.sk/product/led-svetelny-zaves-2x1-m-210-led-dlf-210-ww-17815")</f>
        <v>0.0</v>
      </c>
      <c r="E663" s="7" t="n">
        <f>HYPERLINK("https://www.somogyi.sk/productimages/product_main_images/small/17815.jpg","https://www.somogyi.sk/productimages/product_main_images/small/17815.jpg")</f>
        <v>0.0</v>
      </c>
      <c r="F663" s="2" t="inlineStr">
        <is>
          <t>5999084958374</t>
        </is>
      </c>
      <c r="G663" s="4" t="inlineStr">
        <is>
          <t xml:space="preserve"> • umiestnenie: na vonkajšie / vnútorné použitie 
 • zdroj svetla: LED 
 • počet zdrojov svetla: 210 ks 
 • farba zdrojov svetla: teplá biela 
 • farba kábla: biela 
 • dĺžka: 1 m x 2 m 
 • kompatibilita: s DLI / DLF / DLFJ 
 • napájanie: 31 V DC</t>
        </is>
      </c>
    </row>
    <row r="664">
      <c r="A664" s="3" t="inlineStr">
        <is>
          <t>DLF 210/WH</t>
        </is>
      </c>
      <c r="B664" s="2" t="inlineStr">
        <is>
          <t>LED svetelný záves, 2x1 m / 210 LED</t>
        </is>
      </c>
      <c r="C664" s="1" t="n">
        <v>25.99</v>
      </c>
      <c r="D664" s="7" t="n">
        <f>HYPERLINK("https://www.somogyi.sk/product/led-svetelny-zaves-2x1-m-210-led-dlf-210-wh-17814","https://www.somogyi.sk/product/led-svetelny-zaves-2x1-m-210-led-dlf-210-wh-17814")</f>
        <v>0.0</v>
      </c>
      <c r="E664" s="7" t="n">
        <f>HYPERLINK("https://www.somogyi.sk/productimages/product_main_images/small/17814.jpg","https://www.somogyi.sk/productimages/product_main_images/small/17814.jpg")</f>
        <v>0.0</v>
      </c>
      <c r="F664" s="2" t="inlineStr">
        <is>
          <t>5999084958367</t>
        </is>
      </c>
      <c r="G664" s="4" t="inlineStr">
        <is>
          <t xml:space="preserve"> • umiestnenie: na vonkajšie / vnútorné použitie 
 • zdroj svetla: LED 
 • počet zdrojov svetla: 210 ks 
 • farba zdrojov svetla: studená biela 
 • farba kábla: biela 
 • dĺžka: 1 m x 2 m 
 • kompatibilita: s DLI / DLF / DLFJ 
 • napájanie: 31 V DC</t>
        </is>
      </c>
    </row>
    <row r="665">
      <c r="A665" s="3" t="inlineStr">
        <is>
          <t>DLFJ 200/WW</t>
        </is>
      </c>
      <c r="B665" s="2" t="inlineStr">
        <is>
          <t>LED svetelný záves spojovateľný s cencúľmi, 5 m, IP44</t>
        </is>
      </c>
      <c r="C665" s="1" t="n">
        <v>33.99</v>
      </c>
      <c r="D665" s="7" t="n">
        <f>HYPERLINK("https://www.somogyi.sk/product/led-svetelny-zaves-spojovatelny-s-cenculmi-5-m-ip44-dlfj-200-ww-14710","https://www.somogyi.sk/product/led-svetelny-zaves-spojovatelny-s-cenculmi-5-m-ip44-dlfj-200-ww-14710")</f>
        <v>0.0</v>
      </c>
      <c r="E665" s="7" t="n">
        <f>HYPERLINK("https://www.somogyi.sk/productimages/product_main_images/small/14710.jpg","https://www.somogyi.sk/productimages/product_main_images/small/14710.jpg")</f>
        <v>0.0</v>
      </c>
      <c r="F665" s="2" t="inlineStr">
        <is>
          <t>5999084927523</t>
        </is>
      </c>
      <c r="G665" s="4" t="inlineStr">
        <is>
          <t xml:space="preserve"> • umiestnenie: vonkajšie / vnútorné použitie 
 • zdroj svetla: LED 
 • počet zdrojov svetla: 200 ks 
 • farba zdrojov svetla: teplá biela 
 • farba kábla: biela 
 • dĺžka: 5 m 
 • kompatibilita: so sériou DLI / DLF / DLFJ 
 • napájanie: 31 V DC 
 • ďalšie informácie: Dodávame bez sieťového adaptéra (DLA 12W) a napájacieho kábla (DLC 5M)! Jedným sieťovým pripojením sa smie použiť len 1200 ks LED! Pre sieťové pripojenie použite adaptér a napájací prívod len od firmy Somogyi Elektronic!</t>
        </is>
      </c>
    </row>
    <row r="666">
      <c r="A666" s="3" t="inlineStr">
        <is>
          <t>DLFJ 200/WH</t>
        </is>
      </c>
      <c r="B666" s="2" t="inlineStr">
        <is>
          <t>LED svetelný záves spojovateľný s cencúľmi, 5 m, IP44</t>
        </is>
      </c>
      <c r="C666" s="1" t="n">
        <v>33.99</v>
      </c>
      <c r="D666" s="7" t="n">
        <f>HYPERLINK("https://www.somogyi.sk/product/led-svetelny-zaves-spojovatelny-s-cenculmi-5-m-ip44-dlfj-200-wh-14707","https://www.somogyi.sk/product/led-svetelny-zaves-spojovatelny-s-cenculmi-5-m-ip44-dlfj-200-wh-14707")</f>
        <v>0.0</v>
      </c>
      <c r="E666" s="7" t="n">
        <f>HYPERLINK("https://www.somogyi.sk/productimages/product_main_images/small/14707.jpg","https://www.somogyi.sk/productimages/product_main_images/small/14707.jpg")</f>
        <v>0.0</v>
      </c>
      <c r="F666" s="2" t="inlineStr">
        <is>
          <t>5999084927493</t>
        </is>
      </c>
      <c r="G666" s="4" t="inlineStr">
        <is>
          <t xml:space="preserve"> • umiestnenie: vonkajšie / vnútorné použitie 
 • zdroj svetla: LED 
 • počet zdrojov svetla: 200 ks 
 • farba zdrojov svetla: studená biela 
 • farba kábla: biela 
 • dĺžka: 5 m 
 • kompatibilita: so sériou DLI / DLF / DLFJ 
 • napájanie: 31 V DC 
 • ďalšie informácie: Dodávame bez sieťového adaptéra (DLA 12W) a napájacieho kábla (DLC 5M)! Jedným sieťovým pripojením sa smie použiť len 1200 ks LED! Pre sieťové pripojenie použite adaptér a napájací prívod len od firmy Somogyi Elektronic!</t>
        </is>
      </c>
    </row>
    <row r="667">
      <c r="A667" s="3" t="inlineStr">
        <is>
          <t>DLFC 600/WH</t>
        </is>
      </c>
      <c r="B667" s="2" t="inlineStr">
        <is>
          <t>LED spojovateľný cluster svetelný záves</t>
        </is>
      </c>
      <c r="C667" s="1" t="n">
        <v>50.99</v>
      </c>
      <c r="D667" s="7" t="n">
        <f>HYPERLINK("https://www.somogyi.sk/product/led-spojovatelny-cluster-svetelny-zaves-dlfc-600-wh-18132","https://www.somogyi.sk/product/led-spojovatelny-cluster-svetelny-zaves-dlfc-600-wh-18132")</f>
        <v>0.0</v>
      </c>
      <c r="E667" s="7" t="n">
        <f>HYPERLINK("https://www.somogyi.sk/productimages/product_main_images/small/18132.jpg","https://www.somogyi.sk/productimages/product_main_images/small/18132.jpg")</f>
        <v>0.0</v>
      </c>
      <c r="F667" s="2" t="inlineStr">
        <is>
          <t>5999084961541</t>
        </is>
      </c>
      <c r="G667" s="4" t="inlineStr">
        <is>
          <t xml:space="preserve"> • na vonkajšie a vnútorné použitie 
 • 600 ks studených bielych, stálych LED 
 • 10 reťazcov, 60 LED na jednom reťazci 
 • biely kábel 
 • Spojovateľný s výrobkami DLI, DLF, DLFJ, ktoré distribuuje spoločnosť Somogyi Elektronic. 
 • Bez napájacieho kábla a adaptéra! 
 • Na sieťové pripojenie používajte výlučne sieťový adaptér typu DLA 12W (31 V / 12 W) a napájací kábel DLC 5M,  ktoré distribuuje spoločnosť Somogyi Elektronic! 
 • S jedným sieťovým napojením sa môže prevádzkovať max. 1200 LED! 
 • rozmery: 2,7 x 0,6 m</t>
        </is>
      </c>
    </row>
    <row r="668">
      <c r="A668" s="3" t="inlineStr">
        <is>
          <t>DLFJ 400/WW</t>
        </is>
      </c>
      <c r="B668" s="2" t="inlineStr">
        <is>
          <t>Spojovateľný LED svetelný záves, cencúľ</t>
        </is>
      </c>
      <c r="C668" s="1" t="n">
        <v>57.99</v>
      </c>
      <c r="D668" s="7" t="n">
        <f>HYPERLINK("https://www.somogyi.sk/product/spojovatelny-led-svetelny-zaves-cencul-dlfj-400-ww-15623","https://www.somogyi.sk/product/spojovatelny-led-svetelny-zaves-cencul-dlfj-400-ww-15623")</f>
        <v>0.0</v>
      </c>
      <c r="E668" s="7" t="n">
        <f>HYPERLINK("https://www.somogyi.sk/productimages/product_main_images/small/15623.jpg","https://www.somogyi.sk/productimages/product_main_images/small/15623.jpg")</f>
        <v>0.0</v>
      </c>
      <c r="F668" s="2" t="inlineStr">
        <is>
          <t>5999084936570</t>
        </is>
      </c>
      <c r="G668" s="4" t="inlineStr">
        <is>
          <t xml:space="preserve"> • stále svetlo 
 • biely kábel 
 • Spojovateľná s výrobkami DLI, DLF, DLFJ, ktoré distribuuje spoločnosť Somogyi Elektronic 
 • Bez napájacieho kábla a adaptéra! 
 • Na sieťové pripojenie používajte výlučne sieťový adaptér typu DLA 12W a napájací kábel DLC 5M, 
 • ktoré distribuuje spoločnosť Somogyi Elektronic! 
 • 400 ks LED 
 • 3/7/4/6 reťazí, 20 skupín 
 • stále svetlo 
 • teplá biela 
 • dĺžka reťazca: 10 m</t>
        </is>
      </c>
    </row>
    <row r="669">
      <c r="A669" s="3" t="inlineStr">
        <is>
          <t>DLA 12W</t>
        </is>
      </c>
      <c r="B669" s="2" t="inlineStr">
        <is>
          <t>Sieťový adaptér k výrobkom  DLI/DLF/DLFJ, IP44</t>
        </is>
      </c>
      <c r="C669" s="1" t="n">
        <v>11.99</v>
      </c>
      <c r="D669" s="7" t="n">
        <f>HYPERLINK("https://www.somogyi.sk/product/sietovy-adapter-k-vyrobkom-dli-dlf-dlfj-ip44-dla-12w-14640","https://www.somogyi.sk/product/sietovy-adapter-k-vyrobkom-dli-dlf-dlfj-ip44-dla-12w-14640")</f>
        <v>0.0</v>
      </c>
      <c r="E669" s="7" t="n">
        <f>HYPERLINK("https://www.somogyi.sk/productimages/product_main_images/small/14640.jpg","https://www.somogyi.sk/productimages/product_main_images/small/14640.jpg")</f>
        <v>0.0</v>
      </c>
      <c r="F669" s="2" t="inlineStr">
        <is>
          <t>5999084926823</t>
        </is>
      </c>
      <c r="G669" s="4" t="inlineStr">
        <is>
          <t xml:space="preserve"> • umiestnenie: vonkajšie / vnútorné použitie 
 • zdroj svetla: - 
 • počet zdrojov svetla: - 
 • farba zdrojov svetla: - 
 • farba kábla: biela 
 • dĺžka: - 
 • kompatibilita: so sériou DLI / DLF / DLFJ 
 • napájanie: 230 V~/ 31 V DC / 12 W 
 • ďalšie informácie: Jedným sieťovým pripojením sa smie použiť len 1200 ks LED! Pre sieťové pripojenie sa smie použiť výhradne sieťový kábel (DLC 5M)  výhradne od firmy Somogyi Elektronic!</t>
        </is>
      </c>
    </row>
    <row r="670">
      <c r="A670" s="3" t="inlineStr">
        <is>
          <t>DLI 200/WW</t>
        </is>
      </c>
      <c r="B670" s="2" t="inlineStr">
        <is>
          <t>LED spojovateľný svietiaci reťazec, 10 m, IP44</t>
        </is>
      </c>
      <c r="C670" s="1" t="n">
        <v>18.99</v>
      </c>
      <c r="D670" s="7" t="n">
        <f>HYPERLINK("https://www.somogyi.sk/product/led-spojovatelny-svietiaci-retazec-10-m-ip44-dli-200-ww-14633","https://www.somogyi.sk/product/led-spojovatelny-svietiaci-retazec-10-m-ip44-dli-200-ww-14633")</f>
        <v>0.0</v>
      </c>
      <c r="E670" s="7" t="n">
        <f>HYPERLINK("https://www.somogyi.sk/productimages/product_main_images/small/14633.jpg","https://www.somogyi.sk/productimages/product_main_images/small/14633.jpg")</f>
        <v>0.0</v>
      </c>
      <c r="F670" s="2" t="inlineStr">
        <is>
          <t>5999084926755</t>
        </is>
      </c>
      <c r="G670" s="4" t="inlineStr">
        <is>
          <t xml:space="preserve"> • umiestnenie: vonkajšie / vnútorné použitie 
 • zdroj svetla: LED 
 • počet zdrojov svetla: 200 ks 
 • farba zdrojov svetla: teplá biela 
 • farba kábla: biela 
 • dĺžka: 10 m 
 • kompatibilita: so sériou DLI / DLF / DLFJ 
 • napájanie: 31 V DC 
 • ďalšie informácie: Dodávame bez sieťového adaptéra (DLA 12W) a napájacieho kábla (DLC 5M)! Jedným sieťovým pripojením sa smie použiť len 1200 ks LED! Pre sieťové pripojenie použite adaptér a napájací prívod len od firmy Somogyi Elektronic!</t>
        </is>
      </c>
    </row>
    <row r="671">
      <c r="A671" s="3" t="inlineStr">
        <is>
          <t>DLF 400/WW</t>
        </is>
      </c>
      <c r="B671" s="2" t="inlineStr">
        <is>
          <t>LED spojovateľný svetelný záves, 2 x 2 m, IP44</t>
        </is>
      </c>
      <c r="C671" s="1" t="n">
        <v>41.99</v>
      </c>
      <c r="D671" s="7" t="n">
        <f>HYPERLINK("https://www.somogyi.sk/product/led-spojovatelny-svetelny-zaves-2-x-2-m-ip44-dlf-400-ww-14638","https://www.somogyi.sk/product/led-spojovatelny-svetelny-zaves-2-x-2-m-ip44-dlf-400-ww-14638")</f>
        <v>0.0</v>
      </c>
      <c r="E671" s="7" t="n">
        <f>HYPERLINK("https://www.somogyi.sk/productimages/product_main_images/small/14638.jpg","https://www.somogyi.sk/productimages/product_main_images/small/14638.jpg")</f>
        <v>0.0</v>
      </c>
      <c r="F671" s="2" t="inlineStr">
        <is>
          <t>5999084926809</t>
        </is>
      </c>
      <c r="G671" s="4" t="inlineStr">
        <is>
          <t xml:space="preserve"> • stále svetlo 
 • biely kábel 
 • Spojovateľná s výrobkami DLI, DLF, DLFJ, ktoré distribuuje spoločnosť Somogyi Elektronic 
 • Bez napájacieho kábla a adaptéra! 
 • Na sieťové pripojenie používajte výlučne sieťový adaptér typu DLA 12W a napájací kábel DLC 5M, 
 • ktoré distribuuje spoločnosť Somogyi Elektronic! 
 • 400 ks LED 
 • 20 reťazov, 20 ks LED na jednom reťazi 
 • DLF 400/WW - teplá biela 
 • dĺžka reťazca: 2 m</t>
        </is>
      </c>
    </row>
    <row r="672">
      <c r="A672" s="3" t="inlineStr">
        <is>
          <t>DLF 400/WH</t>
        </is>
      </c>
      <c r="B672" s="2" t="inlineStr">
        <is>
          <t>LED spojovateľný svetelný záves, 2 x 2 m, IP44</t>
        </is>
      </c>
      <c r="C672" s="1" t="n">
        <v>41.99</v>
      </c>
      <c r="D672" s="7" t="n">
        <f>HYPERLINK("https://www.somogyi.sk/product/led-spojovatelny-svetelny-zaves-2-x-2-m-ip44-dlf-400-wh-14637","https://www.somogyi.sk/product/led-spojovatelny-svetelny-zaves-2-x-2-m-ip44-dlf-400-wh-14637")</f>
        <v>0.0</v>
      </c>
      <c r="E672" s="7" t="n">
        <f>HYPERLINK("https://www.somogyi.sk/productimages/product_main_images/small/14637.jpg","https://www.somogyi.sk/productimages/product_main_images/small/14637.jpg")</f>
        <v>0.0</v>
      </c>
      <c r="F672" s="2" t="inlineStr">
        <is>
          <t>5999084926793</t>
        </is>
      </c>
      <c r="G672" s="4" t="inlineStr">
        <is>
          <t xml:space="preserve"> • stále svetlo 
 • biely kábel 
 • Spojovateľná s výrobkami DLI, DLF, DLFJ, ktoré distribuuje spoločnosť Somogyi Elektronic 
 • Bez napájacieho kábla a adaptéra! 
 • Na sieťové pripojenie používajte výlučne sieťový adaptér typu DLA 12W a napájací kábel DLC 5M, 
 • ktoré distribuuje spoločnosť Somogyi Elektronic! 
 • 400 ks LED 
 • 20 reťazov, 20 ks LED na jednom reťazi 
 •  studená biela 
 • dĺžka reťazca: 2 m</t>
        </is>
      </c>
    </row>
    <row r="673">
      <c r="A673" s="3" t="inlineStr">
        <is>
          <t>DLF 600/WW</t>
        </is>
      </c>
      <c r="B673" s="2" t="inlineStr">
        <is>
          <t>LED spojovateľný svetelný záves, 2 x 3 m, IP44</t>
        </is>
      </c>
      <c r="C673" s="1" t="n">
        <v>60.99</v>
      </c>
      <c r="D673" s="7" t="n">
        <f>HYPERLINK("https://www.somogyi.sk/product/led-spojovatelny-svetelny-zaves-2-x-3-m-ip44-dlf-600-ww-14636","https://www.somogyi.sk/product/led-spojovatelny-svetelny-zaves-2-x-3-m-ip44-dlf-600-ww-14636")</f>
        <v>0.0</v>
      </c>
      <c r="E673" s="7" t="n">
        <f>HYPERLINK("https://www.somogyi.sk/productimages/product_main_images/small/14636.jpg","https://www.somogyi.sk/productimages/product_main_images/small/14636.jpg")</f>
        <v>0.0</v>
      </c>
      <c r="F673" s="2" t="inlineStr">
        <is>
          <t>5999084926786</t>
        </is>
      </c>
      <c r="G673" s="4" t="inlineStr">
        <is>
          <t xml:space="preserve"> • stále svetlo 
 • biely kábel 
 • Spojovateľná s výrobkami DLI, DLF, DLFJ, ktoré distribuuje spoločnosť Somogyi Elektronic 
 • Bez napájacieho kábla a adaptéra! 
 • Na sieťové pripojenie používajte výlučne sieťový adaptér typu DLA 12W a napájací kábel DLC 5M, 
 • ktoré distribuuje spoločnosť Somogyi Elektronic! 
 • 600 ks LED 
 • 20 reťazov, 30 ks LED na jednom reťazi 
 • DLF 600/WW - teplá biela 
 • dĺžka reťazca: 2 m</t>
        </is>
      </c>
    </row>
    <row r="674">
      <c r="A674" s="3" t="inlineStr">
        <is>
          <t>DLF 600/WH</t>
        </is>
      </c>
      <c r="B674" s="2" t="inlineStr">
        <is>
          <t>LED spojovateľný svetelný záves, 2 x 3 m, IP44</t>
        </is>
      </c>
      <c r="C674" s="1" t="n">
        <v>60.99</v>
      </c>
      <c r="D674" s="7" t="n">
        <f>HYPERLINK("https://www.somogyi.sk/product/led-spojovatelny-svetelny-zaves-2-x-3-m-ip44-dlf-600-wh-14635","https://www.somogyi.sk/product/led-spojovatelny-svetelny-zaves-2-x-3-m-ip44-dlf-600-wh-14635")</f>
        <v>0.0</v>
      </c>
      <c r="E674" s="7" t="n">
        <f>HYPERLINK("https://www.somogyi.sk/productimages/product_main_images/small/14635.jpg","https://www.somogyi.sk/productimages/product_main_images/small/14635.jpg")</f>
        <v>0.0</v>
      </c>
      <c r="F674" s="2" t="inlineStr">
        <is>
          <t>5999084926779</t>
        </is>
      </c>
      <c r="G674" s="4" t="inlineStr">
        <is>
          <t xml:space="preserve"> • stále svetlo 
 • biely kábel 
 • Spojovateľná s výrobkami DLI, DLF, DLFJ, ktoré distribuuje spoločnosť Somogyi Elektronic 
 • Bez napájacieho kábla a adaptéra! 
 • Na sieťové pripojenie používajte výlučne sieťový adaptér typu DLA 12W a napájací kábel DLC 5M, 
 • ktoré distribuuje spoločnosť Somogyi Elektronic! 
 • 600 ks LED 
 • 20 reťazov, 30 ks LED na jednom reťazi 
 • DLF 600/WH - studená biela 
 • dĺžka reťazca: 2 m</t>
        </is>
      </c>
    </row>
    <row r="675">
      <c r="A675" s="6" t="inlineStr">
        <is>
          <t xml:space="preserve">   Vianočné dekoračné osvetlenie / Svietiaci reťazec</t>
        </is>
      </c>
      <c r="B675" s="6" t="inlineStr">
        <is>
          <t/>
        </is>
      </c>
      <c r="C675" s="6" t="inlineStr">
        <is>
          <t/>
        </is>
      </c>
      <c r="D675" s="6" t="inlineStr">
        <is>
          <t/>
        </is>
      </c>
      <c r="E675" s="6" t="inlineStr">
        <is>
          <t/>
        </is>
      </c>
      <c r="F675" s="6" t="inlineStr">
        <is>
          <t/>
        </is>
      </c>
      <c r="G675" s="6" t="inlineStr">
        <is>
          <t/>
        </is>
      </c>
    </row>
    <row r="676">
      <c r="A676" s="3" t="inlineStr">
        <is>
          <t>LED 108C/WH</t>
        </is>
      </c>
      <c r="B676" s="2" t="inlineStr">
        <is>
          <t>LED svetelný reťazec</t>
        </is>
      </c>
      <c r="C676" s="1" t="n">
        <v>21.99</v>
      </c>
      <c r="D676" s="7" t="n">
        <f>HYPERLINK("https://www.somogyi.sk/product/led-svetelny-retazec-led-108c-wh-15479","https://www.somogyi.sk/product/led-svetelny-retazec-led-108c-wh-15479")</f>
        <v>0.0</v>
      </c>
      <c r="E676" s="7" t="n">
        <f>HYPERLINK("https://www.somogyi.sk/productimages/product_main_images/small/15479.jpg","https://www.somogyi.sk/productimages/product_main_images/small/15479.jpg")</f>
        <v>0.0</v>
      </c>
      <c r="F676" s="2" t="inlineStr">
        <is>
          <t>5999084935139</t>
        </is>
      </c>
      <c r="G676" s="4" t="inlineStr">
        <is>
          <t xml:space="preserve"> • umiestnenie: na vonkajšie / vnútorné použitie 
 • zdroj svetla: LED 
 • počet zdrojov svetla: 100 ks 
 • farba zdrojov svetla: studená biela 
 • funkcie: 8 programov 
 • farba kábla: zelená 
 • dĺžka: 7 m 
 • napájanie: 230 V~ (adaptér) 
 • ďalšie informácie: balenie: plastový kufrík</t>
        </is>
      </c>
    </row>
    <row r="677">
      <c r="A677" s="3" t="inlineStr">
        <is>
          <t>KII 200/WH</t>
        </is>
      </c>
      <c r="B677" s="2" t="inlineStr">
        <is>
          <t>LED svietiaci reťazec</t>
        </is>
      </c>
      <c r="C677" s="1" t="n">
        <v>17.49</v>
      </c>
      <c r="D677" s="7" t="n">
        <f>HYPERLINK("https://www.somogyi.sk/product/led-svietiaci-retazec-kii-200-wh-16138","https://www.somogyi.sk/product/led-svietiaci-retazec-kii-200-wh-16138")</f>
        <v>0.0</v>
      </c>
      <c r="E677" s="7" t="n">
        <f>HYPERLINK("https://www.somogyi.sk/productimages/product_main_images/small/16138.jpg","https://www.somogyi.sk/productimages/product_main_images/small/16138.jpg")</f>
        <v>0.0</v>
      </c>
      <c r="F677" s="2" t="inlineStr">
        <is>
          <t>5999084941703</t>
        </is>
      </c>
      <c r="G677" s="4" t="inlineStr">
        <is>
          <t xml:space="preserve"> • umiestnenie: na vnútorné použitie 
 • zdroj svetla: LED 
 • počet zdrojov svetla: 200 ks 
 • farba zdrojov svetla: farebná 
 • farba kábla: zelená 
 • dĺžka: 16 m 
 • napájanie: 230 V~ (adaptér)</t>
        </is>
      </c>
    </row>
    <row r="678">
      <c r="A678" s="3" t="inlineStr">
        <is>
          <t>KII 100/T</t>
        </is>
      </c>
      <c r="B678" s="2" t="inlineStr">
        <is>
          <t>LED svietiaci reťazec</t>
        </is>
      </c>
      <c r="C678" s="1" t="n">
        <v>14.49</v>
      </c>
      <c r="D678" s="7" t="n">
        <f>HYPERLINK("https://www.somogyi.sk/product/led-svietiaci-retazec-kii-100-t-16137","https://www.somogyi.sk/product/led-svietiaci-retazec-kii-100-t-16137")</f>
        <v>0.0</v>
      </c>
      <c r="E678" s="7" t="n">
        <f>HYPERLINK("https://www.somogyi.sk/productimages/product_main_images/small/16137.jpg","https://www.somogyi.sk/productimages/product_main_images/small/16137.jpg")</f>
        <v>0.0</v>
      </c>
      <c r="F678" s="2" t="inlineStr">
        <is>
          <t>5999084941697</t>
        </is>
      </c>
      <c r="G678" s="4" t="inlineStr">
        <is>
          <t xml:space="preserve"> • umiestnenie: na vnútorné použitie 
 • zdroj svetla: LED 
 • počet zdrojov svetla: 100 ks 
 • farba zdrojov svetla: tyrkysová 
 • farba kábla: zelená 
 • dĺžka: 8 m 
 • napájanie: 230 V~ (adaptér)</t>
        </is>
      </c>
    </row>
    <row r="679">
      <c r="A679" s="3" t="inlineStr">
        <is>
          <t>KII 100/P</t>
        </is>
      </c>
      <c r="B679" s="2" t="inlineStr">
        <is>
          <t>LED svietiaci reťazec</t>
        </is>
      </c>
      <c r="C679" s="1" t="n">
        <v>14.49</v>
      </c>
      <c r="D679" s="7" t="n">
        <f>HYPERLINK("https://www.somogyi.sk/product/led-svietiaci-retazec-kii-100-p-16136","https://www.somogyi.sk/product/led-svietiaci-retazec-kii-100-p-16136")</f>
        <v>0.0</v>
      </c>
      <c r="E679" s="7" t="n">
        <f>HYPERLINK("https://www.somogyi.sk/productimages/product_main_images/small/16136.jpg","https://www.somogyi.sk/productimages/product_main_images/small/16136.jpg")</f>
        <v>0.0</v>
      </c>
      <c r="F679" s="2" t="inlineStr">
        <is>
          <t>5999084941680</t>
        </is>
      </c>
      <c r="G679" s="4" t="inlineStr">
        <is>
          <t xml:space="preserve"> • umiestnenie: na vnútorné použitie 
 • zdroj svetla: LED 
 • počet zdrojov svetla: 100 ks 
 • farba zdrojov svetla: ružová 
 • farba kábla: zelená 
 • dĺžka: 8 m 
 • napájanie: 230 V~ (adaptér)</t>
        </is>
      </c>
    </row>
    <row r="680">
      <c r="A680" s="3" t="inlineStr">
        <is>
          <t>KII 50/WH</t>
        </is>
      </c>
      <c r="B680" s="2" t="inlineStr">
        <is>
          <t>LED svietiaci reťazec</t>
        </is>
      </c>
      <c r="C680" s="1" t="n">
        <v>10.49</v>
      </c>
      <c r="D680" s="7" t="n">
        <f>HYPERLINK("https://www.somogyi.sk/product/led-svietiaci-retazec-kii-50-wh-16124","https://www.somogyi.sk/product/led-svietiaci-retazec-kii-50-wh-16124")</f>
        <v>0.0</v>
      </c>
      <c r="E680" s="7" t="n">
        <f>HYPERLINK("https://www.somogyi.sk/productimages/product_main_images/small/16124.jpg","https://www.somogyi.sk/productimages/product_main_images/small/16124.jpg")</f>
        <v>0.0</v>
      </c>
      <c r="F680" s="2" t="inlineStr">
        <is>
          <t>5999084941567</t>
        </is>
      </c>
      <c r="G680" s="4" t="inlineStr">
        <is>
          <t xml:space="preserve"> • umiestnenie: na vnútorné použitie 
 • zdroj svetla: LED 
 • počet zdrojov svetla: 50 ks 
 • farba zdrojov svetla: studená biela 
 • farba kábla: zelená 
 • dĺžka: 4 m 
 • napájanie: 230 V~ (adaptér)</t>
        </is>
      </c>
    </row>
    <row r="681">
      <c r="A681" s="3" t="inlineStr">
        <is>
          <t>KII 50/WW</t>
        </is>
      </c>
      <c r="B681" s="2" t="inlineStr">
        <is>
          <t>LED svietiaci reťazec</t>
        </is>
      </c>
      <c r="C681" s="1" t="n">
        <v>10.49</v>
      </c>
      <c r="D681" s="7" t="n">
        <f>HYPERLINK("https://www.somogyi.sk/product/led-svietiaci-retazec-kii-50-ww-16125","https://www.somogyi.sk/product/led-svietiaci-retazec-kii-50-ww-16125")</f>
        <v>0.0</v>
      </c>
      <c r="E681" s="7" t="n">
        <f>HYPERLINK("https://www.somogyi.sk/productimages/product_main_images/small/16125.jpg","https://www.somogyi.sk/productimages/product_main_images/small/16125.jpg")</f>
        <v>0.0</v>
      </c>
      <c r="F681" s="2" t="inlineStr">
        <is>
          <t>5999084941574</t>
        </is>
      </c>
      <c r="G681" s="4" t="inlineStr">
        <is>
          <t xml:space="preserve"> • umiestnenie: na vnútorné použitie 
 • zdroj svetla: LED 
 • počet zdrojov svetla: 50 ks 
 • farba zdrojov svetla: teplá biela 
 • farba kábla: zelená 
 • dĺžka: 4 m 
 • napájanie: 230 V~ (adaptér)</t>
        </is>
      </c>
    </row>
    <row r="682">
      <c r="A682" s="3" t="inlineStr">
        <is>
          <t>KII 50/M</t>
        </is>
      </c>
      <c r="B682" s="2" t="inlineStr">
        <is>
          <t>LED svietiaci reťazec</t>
        </is>
      </c>
      <c r="C682" s="1" t="n">
        <v>10.49</v>
      </c>
      <c r="D682" s="7" t="n">
        <f>HYPERLINK("https://www.somogyi.sk/product/led-svietiaci-retazec-kii-50-m-16126","https://www.somogyi.sk/product/led-svietiaci-retazec-kii-50-m-16126")</f>
        <v>0.0</v>
      </c>
      <c r="E682" s="7" t="n">
        <f>HYPERLINK("https://www.somogyi.sk/productimages/product_main_images/small/16126.jpg","https://www.somogyi.sk/productimages/product_main_images/small/16126.jpg")</f>
        <v>0.0</v>
      </c>
      <c r="F682" s="2" t="inlineStr">
        <is>
          <t>5999084941581</t>
        </is>
      </c>
      <c r="G682" s="4" t="inlineStr">
        <is>
          <t xml:space="preserve"> • umiestnenie: na vnútorné použitie 
 • zdroj svetla: LED 
 • počet zdrojov svetla: 50 ks 
 • farba zdrojov svetla: farený 
 • farba kábla: zelená 
 • dĺžka: 4 m 
 • napájanie: 230 V~ (adaptér)</t>
        </is>
      </c>
    </row>
    <row r="683">
      <c r="A683" s="3" t="inlineStr">
        <is>
          <t>KII 50/R</t>
        </is>
      </c>
      <c r="B683" s="2" t="inlineStr">
        <is>
          <t>LED svietiaci reťazec</t>
        </is>
      </c>
      <c r="C683" s="1" t="n">
        <v>11.49</v>
      </c>
      <c r="D683" s="7" t="n">
        <f>HYPERLINK("https://www.somogyi.sk/product/led-svietiaci-retazec-kii-50-r-16127","https://www.somogyi.sk/product/led-svietiaci-retazec-kii-50-r-16127")</f>
        <v>0.0</v>
      </c>
      <c r="E683" s="7" t="n">
        <f>HYPERLINK("https://www.somogyi.sk/productimages/product_main_images/small/16127.jpg","https://www.somogyi.sk/productimages/product_main_images/small/16127.jpg")</f>
        <v>0.0</v>
      </c>
      <c r="F683" s="2" t="inlineStr">
        <is>
          <t>5999084941598</t>
        </is>
      </c>
      <c r="G683" s="4" t="inlineStr">
        <is>
          <t xml:space="preserve"> • umiestnenie: na vnútorné použitie 
 • zdroj svetla: LED 
 • počet zdrojov svetla: 50 ks 
 • farba zdrojov svetla: červená 
 • farba kábla: zelená 
 • dĺžka: 4 m 
 • napájanie: 230 V~ (adaptér)</t>
        </is>
      </c>
    </row>
    <row r="684">
      <c r="A684" s="3" t="inlineStr">
        <is>
          <t>KII 50/BL</t>
        </is>
      </c>
      <c r="B684" s="2" t="inlineStr">
        <is>
          <t>LED svietiaci reťazec</t>
        </is>
      </c>
      <c r="C684" s="1" t="n">
        <v>11.49</v>
      </c>
      <c r="D684" s="7" t="n">
        <f>HYPERLINK("https://www.somogyi.sk/product/led-svietiaci-retazec-kii-50-bl-16128","https://www.somogyi.sk/product/led-svietiaci-retazec-kii-50-bl-16128")</f>
        <v>0.0</v>
      </c>
      <c r="E684" s="7" t="n">
        <f>HYPERLINK("https://www.somogyi.sk/productimages/product_main_images/small/16128.jpg","https://www.somogyi.sk/productimages/product_main_images/small/16128.jpg")</f>
        <v>0.0</v>
      </c>
      <c r="F684" s="2" t="inlineStr">
        <is>
          <t>5999084941604</t>
        </is>
      </c>
      <c r="G684" s="4" t="inlineStr">
        <is>
          <t xml:space="preserve"> • umiestnenie: na vnútorné použitie 
 • zdroj svetla: LED 
 • počet zdrojov svetla: 50 ks 
 • farba zdrojov svetla: modrá 
 • farba kábla: zelená 
 • dĺžka: 4 m 
 • napájanie: 230 V~ (adaptér)</t>
        </is>
      </c>
    </row>
    <row r="685">
      <c r="A685" s="3" t="inlineStr">
        <is>
          <t>KII 100/WH</t>
        </is>
      </c>
      <c r="B685" s="2" t="inlineStr">
        <is>
          <t>LED svietiaci reťazec</t>
        </is>
      </c>
      <c r="C685" s="1" t="n">
        <v>11.99</v>
      </c>
      <c r="D685" s="7" t="n">
        <f>HYPERLINK("https://www.somogyi.sk/product/led-svietiaci-retazec-kii-100-wh-16131","https://www.somogyi.sk/product/led-svietiaci-retazec-kii-100-wh-16131")</f>
        <v>0.0</v>
      </c>
      <c r="E685" s="7" t="n">
        <f>HYPERLINK("https://www.somogyi.sk/productimages/product_main_images/small/16131.jpg","https://www.somogyi.sk/productimages/product_main_images/small/16131.jpg")</f>
        <v>0.0</v>
      </c>
      <c r="F685" s="2" t="inlineStr">
        <is>
          <t>5999084941635</t>
        </is>
      </c>
      <c r="G685" s="4" t="inlineStr">
        <is>
          <t xml:space="preserve"> • umiestnenie: na vnútorné použitie 
 • zdroj svetla: LED 
 • počet zdrojov svetla: 100 ks 
 • farba zdrojov svetla: studená biela 
 • farba kábla: zelená 
 • dĺžka: 8 m 
 • napájanie: 230 V~ (adaptér)</t>
        </is>
      </c>
    </row>
    <row r="686">
      <c r="A686" s="3" t="inlineStr">
        <is>
          <t>KII 100/WW</t>
        </is>
      </c>
      <c r="B686" s="2" t="inlineStr">
        <is>
          <t>LED svietiaci reťazec</t>
        </is>
      </c>
      <c r="C686" s="1" t="n">
        <v>11.99</v>
      </c>
      <c r="D686" s="7" t="n">
        <f>HYPERLINK("https://www.somogyi.sk/product/led-svietiaci-retazec-kii-100-ww-16132","https://www.somogyi.sk/product/led-svietiaci-retazec-kii-100-ww-16132")</f>
        <v>0.0</v>
      </c>
      <c r="E686" s="7" t="n">
        <f>HYPERLINK("https://www.somogyi.sk/productimages/product_main_images/small/16132.jpg","https://www.somogyi.sk/productimages/product_main_images/small/16132.jpg")</f>
        <v>0.0</v>
      </c>
      <c r="F686" s="2" t="inlineStr">
        <is>
          <t>5999084941642</t>
        </is>
      </c>
      <c r="G686" s="4" t="inlineStr">
        <is>
          <t xml:space="preserve"> • umiestnenie: na vnútorné použitie 
 • zdroj svetla: LED 
 • počet zdrojov svetla: 100 ks 
 • farba zdrojov svetla: teplá biela 
 • farba kábla: zelená 
 • dĺžka: 8 m 
 • napájanie: 230 V~ (adaptér)</t>
        </is>
      </c>
    </row>
    <row r="687">
      <c r="A687" s="3" t="inlineStr">
        <is>
          <t>KII 100/M</t>
        </is>
      </c>
      <c r="B687" s="2" t="inlineStr">
        <is>
          <t>LED svietiaci reťazec</t>
        </is>
      </c>
      <c r="C687" s="1" t="n">
        <v>11.99</v>
      </c>
      <c r="D687" s="7" t="n">
        <f>HYPERLINK("https://www.somogyi.sk/product/led-svietiaci-retazec-kii-100-m-16133","https://www.somogyi.sk/product/led-svietiaci-retazec-kii-100-m-16133")</f>
        <v>0.0</v>
      </c>
      <c r="E687" s="7" t="n">
        <f>HYPERLINK("https://www.somogyi.sk/productimages/product_main_images/small/16133.jpg","https://www.somogyi.sk/productimages/product_main_images/small/16133.jpg")</f>
        <v>0.0</v>
      </c>
      <c r="F687" s="2" t="inlineStr">
        <is>
          <t>5999084941659</t>
        </is>
      </c>
      <c r="G687" s="4" t="inlineStr">
        <is>
          <t xml:space="preserve"> • umiestnenie: na vnútorné použitie 
 • zdroj svetla: LED 
 • počet zdrojov svetla: 100 ks 
 • farba zdrojov svetla: farený 
 • farba kábla: zelená 
 • dĺžka: 8 m 
 • napájanie: 230 V~ (adaptér)</t>
        </is>
      </c>
    </row>
    <row r="688">
      <c r="A688" s="3" t="inlineStr">
        <is>
          <t>KII 100/R</t>
        </is>
      </c>
      <c r="B688" s="2" t="inlineStr">
        <is>
          <t>LED svietiaci reťazec</t>
        </is>
      </c>
      <c r="C688" s="1" t="n">
        <v>14.49</v>
      </c>
      <c r="D688" s="7" t="n">
        <f>HYPERLINK("https://www.somogyi.sk/product/led-svietiaci-retazec-kii-100-r-16134","https://www.somogyi.sk/product/led-svietiaci-retazec-kii-100-r-16134")</f>
        <v>0.0</v>
      </c>
      <c r="E688" s="7" t="n">
        <f>HYPERLINK("https://www.somogyi.sk/productimages/product_main_images/small/16134.jpg","https://www.somogyi.sk/productimages/product_main_images/small/16134.jpg")</f>
        <v>0.0</v>
      </c>
      <c r="F688" s="2" t="inlineStr">
        <is>
          <t>5999084941666</t>
        </is>
      </c>
      <c r="G688" s="4" t="inlineStr">
        <is>
          <t xml:space="preserve"> • umiestnenie: na vnútorné použitie 
 • zdroj svetla: LED 
 • počet zdrojov svetla: 100 ks 
 • farba zdrojov svetla: červená 
 • farba kábla: zelená 
 • dĺžka: 8 m 
 • napájanie: 230 V~ (adaptér)</t>
        </is>
      </c>
    </row>
    <row r="689">
      <c r="A689" s="3" t="inlineStr">
        <is>
          <t>KII 100/BL</t>
        </is>
      </c>
      <c r="B689" s="2" t="inlineStr">
        <is>
          <t>LED svietiaci reťazec, modrá, 100 LED</t>
        </is>
      </c>
      <c r="C689" s="1" t="n">
        <v>14.49</v>
      </c>
      <c r="D689" s="7" t="n">
        <f>HYPERLINK("https://www.somogyi.sk/product/led-svietiaci-retazec-modra-100-led-kii-100-bl-16135","https://www.somogyi.sk/product/led-svietiaci-retazec-modra-100-led-kii-100-bl-16135")</f>
        <v>0.0</v>
      </c>
      <c r="E689" s="7" t="n">
        <f>HYPERLINK("https://www.somogyi.sk/productimages/product_main_images/small/16135.jpg","https://www.somogyi.sk/productimages/product_main_images/small/16135.jpg")</f>
        <v>0.0</v>
      </c>
      <c r="F689" s="2" t="inlineStr">
        <is>
          <t>5999084941673</t>
        </is>
      </c>
      <c r="G689" s="4" t="inlineStr">
        <is>
          <t xml:space="preserve"> • umiestnenie: na vnútorné použitie 
 • zdroj svetla: LED 
 • počet zdrojov svetla: 100 ks 
 • farba zdrojov svetla: modrá 
 • farba kábla: zelená 
 • dĺžka: 8 m 
 • napájanie: 230 V~ (adaptér)</t>
        </is>
      </c>
    </row>
    <row r="690">
      <c r="A690" s="3" t="inlineStr">
        <is>
          <t>LC 768/WW</t>
        </is>
      </c>
      <c r="B690" s="2" t="inlineStr">
        <is>
          <t>LED cluster svietiaci reťazec</t>
        </is>
      </c>
      <c r="C690" s="1" t="n">
        <v>57.99</v>
      </c>
      <c r="D690" s="7" t="n">
        <f>HYPERLINK("https://www.somogyi.sk/product/led-cluster-svietiaci-retazec-lc-768-ww-17330","https://www.somogyi.sk/product/led-cluster-svietiaci-retazec-lc-768-ww-17330")</f>
        <v>0.0</v>
      </c>
      <c r="E690" s="7" t="n">
        <f>HYPERLINK("https://www.somogyi.sk/productimages/product_main_images/small/17330.jpg","https://www.somogyi.sk/productimages/product_main_images/small/17330.jpg")</f>
        <v>0.0</v>
      </c>
      <c r="F690" s="2" t="inlineStr">
        <is>
          <t>5999084953522</t>
        </is>
      </c>
      <c r="G690" s="4" t="inlineStr">
        <is>
          <t xml:space="preserve"> • umiestnenie: na vonkajšie / vnútorné použitie 
 • zdroj svetla: LED 
 • počet zdrojov svetla: 768 ks 
 • farba zdrojov svetla: teplá biela 
 • funkcie: 8 funkcií, pamäť, nastaviteľná svietivosť, nepretržitý režim alebo 6h ON/18h OFF / 8h ON/16h OFF / 6h ON/6h OFF opakované časovanie 
 • dĺžka: 7,5 m 
 • napájanie: IP44 sieťový adaptér na vonkajšie použitie (je príslušenstvom) 
 • ďalšie informácie: diaľkový ovládač (CR2025 batéria, je príslušenstvom)</t>
        </is>
      </c>
    </row>
    <row r="691">
      <c r="A691" s="3" t="inlineStr">
        <is>
          <t>ML 100 RGB SMART</t>
        </is>
      </c>
      <c r="B691" s="2" t="inlineStr">
        <is>
          <t>Micro LED SMART svietiaci reťazec</t>
        </is>
      </c>
      <c r="C691" s="1" t="n">
        <v>28.99</v>
      </c>
      <c r="D691" s="7" t="n">
        <f>HYPERLINK("https://www.somogyi.sk/product/micro-led-smart-svietiaci-retazec-ml-100-rgb-smart-17348","https://www.somogyi.sk/product/micro-led-smart-svietiaci-retazec-ml-100-rgb-smart-17348")</f>
        <v>0.0</v>
      </c>
      <c r="E691" s="7" t="n">
        <f>HYPERLINK("https://www.somogyi.sk/productimages/product_main_images/small/17348.jpg","https://www.somogyi.sk/productimages/product_main_images/small/17348.jpg")</f>
        <v>0.0</v>
      </c>
      <c r="F691" s="2" t="inlineStr">
        <is>
          <t>5999084953706</t>
        </is>
      </c>
      <c r="G691" s="4" t="inlineStr">
        <is>
          <t xml:space="preserve"> • umiestnenie: na vnútorné použitie 
 • zdroj svetla: RGB LED 
 • počet zdrojov svetla: 100 ks 
 • farba zdrojov svetla: multicolor 
 • funkcie: ovládané aplikáciou: 29 dynamických režimov, synchronizované s hudbou, časovač, ovládanie jasu/rýchlosti (1-100%) 
 • napájanie: USB (adaptér nie je príslušenstvom) 
 • ďalšie informácie: farby je možné prispôsobiť podľa individuálnych potrieb</t>
        </is>
      </c>
    </row>
    <row r="692">
      <c r="A692" s="3" t="inlineStr">
        <is>
          <t>ML 200 RGB SMART</t>
        </is>
      </c>
      <c r="B692" s="2" t="inlineStr">
        <is>
          <t>Micro LED-es SMART svietiaci reťazec</t>
        </is>
      </c>
      <c r="C692" s="1" t="n">
        <v>31.99</v>
      </c>
      <c r="D692" s="7" t="n">
        <f>HYPERLINK("https://www.somogyi.sk/product/micro-led-es-smart-svietiaci-retazec-ml-200-rgb-smart-17349","https://www.somogyi.sk/product/micro-led-es-smart-svietiaci-retazec-ml-200-rgb-smart-17349")</f>
        <v>0.0</v>
      </c>
      <c r="E692" s="7" t="n">
        <f>HYPERLINK("https://www.somogyi.sk/productimages/product_main_images/small/17349.jpg","https://www.somogyi.sk/productimages/product_main_images/small/17349.jpg")</f>
        <v>0.0</v>
      </c>
      <c r="F692" s="2" t="inlineStr">
        <is>
          <t>5999084953713</t>
        </is>
      </c>
      <c r="G692" s="4" t="inlineStr">
        <is>
          <t xml:space="preserve"> • umiestnenie: na vnútorné použitie 
 • zdroj svetla: RGB LED 
 • počet zdrojov svetla: 200 ks 
 • farba zdrojov svetla: multicolor 
 • funkcie: ovládané aplikáciou: 29 dynamických režimov, synchronizované s hudbou, časovač, ovládanie jasu/rýchlosti (1-100%) 
 •  
 • ďalšie informácie: farby je možné prispôsobiť podľa individuálnych potrieb</t>
        </is>
      </c>
    </row>
    <row r="693">
      <c r="A693" s="3" t="inlineStr">
        <is>
          <t>ML 112 RGB</t>
        </is>
      </c>
      <c r="B693" s="2" t="inlineStr">
        <is>
          <t>Micro LED-es svietiaci reťazec</t>
        </is>
      </c>
      <c r="C693" s="1" t="n">
        <v>24.99</v>
      </c>
      <c r="D693" s="7" t="n">
        <f>HYPERLINK("https://www.somogyi.sk/product/micro-led-es-svietiaci-retazec-ml-112-rgb-17350","https://www.somogyi.sk/product/micro-led-es-svietiaci-retazec-ml-112-rgb-17350")</f>
        <v>0.0</v>
      </c>
      <c r="E693" s="7" t="n">
        <f>HYPERLINK("https://www.somogyi.sk/productimages/product_main_images/small/17350.jpg","https://www.somogyi.sk/productimages/product_main_images/small/17350.jpg")</f>
        <v>0.0</v>
      </c>
      <c r="F693" s="2" t="inlineStr">
        <is>
          <t>5999084953720</t>
        </is>
      </c>
      <c r="G693" s="4" t="inlineStr">
        <is>
          <t xml:space="preserve"> • umiestnenie: na vnútorné použitie 
 • zdroj svetla: RGB LED 
 • počet zdrojov svetla: 100 ks 
 • farba zdrojov svetla: multicolor 
 •  
 • ďalšie informácie: 12 dynamických svetelných efektov</t>
        </is>
      </c>
    </row>
    <row r="694">
      <c r="A694" s="3" t="inlineStr">
        <is>
          <t>ML 80/WW</t>
        </is>
      </c>
      <c r="B694" s="2" t="inlineStr">
        <is>
          <t>LED svietiaci reťazec</t>
        </is>
      </c>
      <c r="C694" s="1" t="n">
        <v>10.99</v>
      </c>
      <c r="D694" s="7" t="n">
        <f>HYPERLINK("https://www.somogyi.sk/product/led-svietiaci-retazec-ml-80-ww-13452","https://www.somogyi.sk/product/led-svietiaci-retazec-ml-80-ww-13452")</f>
        <v>0.0</v>
      </c>
      <c r="E694" s="7" t="n">
        <f>HYPERLINK("https://www.somogyi.sk/productimages/product_main_images/small/13452.jpg","https://www.somogyi.sk/productimages/product_main_images/small/13452.jpg")</f>
        <v>0.0</v>
      </c>
      <c r="F694" s="2" t="inlineStr">
        <is>
          <t>5999084915384</t>
        </is>
      </c>
      <c r="G694" s="4" t="inlineStr">
        <is>
          <t xml:space="preserve"> • umiestnenie: vonkajšie / vnútorné použitie 
 • zdroj svetla: mikro LED 
 • počet zdrojov svetla: 80 ks 
 • farba zdrojov svetla: teplá biela 
 • funkcie: - 
 • farba kábla: medená farba 
 • dĺžka: 7,9 m 
 • napájanie: 230 V~ (adaptérové)</t>
        </is>
      </c>
    </row>
    <row r="695">
      <c r="A695" s="3" t="inlineStr">
        <is>
          <t>ML 120/WW</t>
        </is>
      </c>
      <c r="B695" s="2" t="inlineStr">
        <is>
          <t>Zväzok micro LED svietiacich reťazcov</t>
        </is>
      </c>
      <c r="C695" s="1" t="n">
        <v>12.49</v>
      </c>
      <c r="D695" s="7" t="n">
        <f>HYPERLINK("https://www.somogyi.sk/product/zvazok-micro-led-svietiacich-retazcov-ml-120-ww-13453","https://www.somogyi.sk/product/zvazok-micro-led-svietiacich-retazcov-ml-120-ww-13453")</f>
        <v>0.0</v>
      </c>
      <c r="E695" s="7" t="n">
        <f>HYPERLINK("https://www.somogyi.sk/productimages/product_main_images/small/13453.jpg","https://www.somogyi.sk/productimages/product_main_images/small/13453.jpg")</f>
        <v>0.0</v>
      </c>
      <c r="F695" s="2" t="inlineStr">
        <is>
          <t>5999084915391</t>
        </is>
      </c>
      <c r="G695" s="4" t="inlineStr">
        <is>
          <t xml:space="preserve"> • umiestnenie: vonkajšie / vnútorné použitie 
 • zdroj svetla: mikro LED 
 • počet zdrojov svetla: 120 ks 
 • farba zdrojov svetla: teplá biela 
 • funkcie: - 
 • farba kábla: medená farba 
 • dĺžka: 1,9 m 
 • napájanie: 230 V~ (adaptérové)</t>
        </is>
      </c>
    </row>
    <row r="696">
      <c r="A696" s="3" t="inlineStr">
        <is>
          <t>LC 768/M</t>
        </is>
      </c>
      <c r="B696" s="2" t="inlineStr">
        <is>
          <t>LED cluster svietiaci reťazec</t>
        </is>
      </c>
      <c r="C696" s="1" t="n">
        <v>57.99</v>
      </c>
      <c r="D696" s="7" t="n">
        <f>HYPERLINK("https://www.somogyi.sk/product/led-cluster-svietiaci-retazec-lc-768-m-17503","https://www.somogyi.sk/product/led-cluster-svietiaci-retazec-lc-768-m-17503")</f>
        <v>0.0</v>
      </c>
      <c r="E696" s="7" t="n">
        <f>HYPERLINK("https://www.somogyi.sk/productimages/product_main_images/small/17503.jpg","https://www.somogyi.sk/productimages/product_main_images/small/17503.jpg")</f>
        <v>0.0</v>
      </c>
      <c r="F696" s="2" t="inlineStr">
        <is>
          <t>5999084955250</t>
        </is>
      </c>
      <c r="G696" s="4" t="inlineStr">
        <is>
          <t xml:space="preserve"> • umiestnenie: na vonkajšie / vnútorné použitie 
 • zdroj svetla: LED 
 • počet zdrojov svetla: 768 ks 
 • farba zdrojov svetla: farebná 
 • funkcie: 8 funkcií, pamäť, nastaviteľná svietivosť, nepretržitý režim alebo 6h ON/18h OFF / 8h ON/16h OFF / 6h ON/6h OFF opakované časovanie 
 • dĺžka: 7,5 m 
 • napájanie: IP44 sieťový adaptér na vonkajšie použitie (je príslušenstvom) 
 • ďalšie informácie: diaľkový ovládač (CR2025 batéria, je príslušenstvom)</t>
        </is>
      </c>
    </row>
    <row r="697">
      <c r="A697" s="3" t="inlineStr">
        <is>
          <t>ML 150/WW</t>
        </is>
      </c>
      <c r="B697" s="2" t="inlineStr">
        <is>
          <t>Zväzok micro LED svietiacich reťazcov</t>
        </is>
      </c>
      <c r="C697" s="1" t="n">
        <v>13.99</v>
      </c>
      <c r="D697" s="7" t="n">
        <f>HYPERLINK("https://www.somogyi.sk/product/zvazok-micro-led-svietiacich-retazcov-ml-150-ww-14002","https://www.somogyi.sk/product/zvazok-micro-led-svietiacich-retazcov-ml-150-ww-14002")</f>
        <v>0.0</v>
      </c>
      <c r="E697" s="7" t="n">
        <f>HYPERLINK("https://www.somogyi.sk/productimages/product_main_images/small/14002.jpg","https://www.somogyi.sk/productimages/product_main_images/small/14002.jpg")</f>
        <v>0.0</v>
      </c>
      <c r="F697" s="2" t="inlineStr">
        <is>
          <t>5999084920548</t>
        </is>
      </c>
      <c r="G697" s="4" t="inlineStr">
        <is>
          <t xml:space="preserve"> • umiestnenie: vonkajšie / vnútorné použitie 
 • zdroj svetla: mikro LED 
 • počet zdrojov svetla: 150 ks 
 • farba zdrojov svetla: teplá biela 
 • funkcie: - 
 • farba kábla: medená farba 
 • dĺžka: 2,4 m 
 • napájanie: 230 V~ (adaptérové)</t>
        </is>
      </c>
    </row>
    <row r="698">
      <c r="A698" s="3" t="inlineStr">
        <is>
          <t>ML 200/WW</t>
        </is>
      </c>
      <c r="B698" s="2" t="inlineStr">
        <is>
          <t>Zväzok micro LED svietiacich reťazcov</t>
        </is>
      </c>
      <c r="C698" s="1" t="n">
        <v>16.99</v>
      </c>
      <c r="D698" s="7" t="n">
        <f>HYPERLINK("https://www.somogyi.sk/product/zvazok-micro-led-svietiacich-retazcov-ml-200-ww-14003","https://www.somogyi.sk/product/zvazok-micro-led-svietiacich-retazcov-ml-200-ww-14003")</f>
        <v>0.0</v>
      </c>
      <c r="E698" s="7" t="n">
        <f>HYPERLINK("https://www.somogyi.sk/productimages/product_main_images/small/14003.jpg","https://www.somogyi.sk/productimages/product_main_images/small/14003.jpg")</f>
        <v>0.0</v>
      </c>
      <c r="F698" s="2" t="inlineStr">
        <is>
          <t>5999084920555</t>
        </is>
      </c>
      <c r="G698" s="4" t="inlineStr">
        <is>
          <t xml:space="preserve"> • umiestnenie: vonkajšie / vnútorné použitie 
 • zdroj svetla: mikro LED 
 • počet zdrojov svetla: 200 ks 
 • farba zdrojov svetla: teplá biela 
 • funkcie: - 
 • farba kábla: medená farba 
 • dĺžka: 1,9 m 
 • napájanie: 230 V~ (adaptérové)</t>
        </is>
      </c>
    </row>
    <row r="699">
      <c r="A699" s="3" t="inlineStr">
        <is>
          <t>MLF 400/WW</t>
        </is>
      </c>
      <c r="B699" s="2" t="inlineStr">
        <is>
          <t>Micro LED svietiaci záves, 20 reťazcí / 20 LED, teplá biela, na vonkajšie použitie</t>
        </is>
      </c>
      <c r="C699" s="1" t="n">
        <v>25.99</v>
      </c>
      <c r="D699" s="7" t="n">
        <f>HYPERLINK("https://www.somogyi.sk/product/micro-led-svietiaci-zaves-20-retazci-20-led-tepla-biela-na-vonkajsie-pouzitie-mlf-400-ww-16528","https://www.somogyi.sk/product/micro-led-svietiaci-zaves-20-retazci-20-led-tepla-biela-na-vonkajsie-pouzitie-mlf-400-ww-16528")</f>
        <v>0.0</v>
      </c>
      <c r="E699" s="7" t="n">
        <f>HYPERLINK("https://www.somogyi.sk/productimages/product_main_images/small/16528.jpg","https://www.somogyi.sk/productimages/product_main_images/small/16528.jpg")</f>
        <v>0.0</v>
      </c>
      <c r="F699" s="2" t="inlineStr">
        <is>
          <t>5999084945602</t>
        </is>
      </c>
      <c r="G699" s="4" t="inlineStr">
        <is>
          <t xml:space="preserve"> • umiestnenie: na vonkajšie / vnútorné použitie 
 • zdroj svetla: LED 
 • počet zdrojov svetla: 400 ks 
 • farba zdrojov svetla: teplá biela 
 • rozmery: 2 x 2 m 
 • napájanie: IP44 vonkajší adaptér 
 • ďalšie informácie: 20 reťazcí, 20 LED na jednom reťazci 
 • spolu 400 ks teplých bielych, bodových žiarivých micro LED</t>
        </is>
      </c>
    </row>
    <row r="700">
      <c r="A700" s="3" t="inlineStr">
        <is>
          <t>MFW 120/WW</t>
        </is>
      </c>
      <c r="B700" s="2" t="inlineStr">
        <is>
          <t>Micro LED fireworks dekorácia, 8 pr.</t>
        </is>
      </c>
      <c r="C700" s="1" t="n">
        <v>18.99</v>
      </c>
      <c r="D700" s="7" t="n">
        <f>HYPERLINK("https://www.somogyi.sk/product/micro-led-fireworks-dekoracia-8-pr-mfw-120-ww-16531","https://www.somogyi.sk/product/micro-led-fireworks-dekoracia-8-pr-mfw-120-ww-16531")</f>
        <v>0.0</v>
      </c>
      <c r="E700" s="7" t="n">
        <f>HYPERLINK("https://www.somogyi.sk/productimages/product_main_images/small/16531.jpg","https://www.somogyi.sk/productimages/product_main_images/small/16531.jpg")</f>
        <v>0.0</v>
      </c>
      <c r="F700" s="2" t="inlineStr">
        <is>
          <t>5999084945633</t>
        </is>
      </c>
      <c r="G700" s="4" t="inlineStr">
        <is>
          <t xml:space="preserve"> • umiestnenie: na vonkajšie / vnútorné použitie 
 • zdroj svetla: micro LED 
 • počet zdrojov svetla: 120 ks teplých bielych LED 
 • 60 ks formovateľných vlákien, dĺžka: 17 cm 
 • farba zdrojov svetla: teplá biela 
 • funkcie: 8 funkcií 
 • farba kábla: strieborná farba 
 • rozmery: ø34 cm 
 • dĺžka: 17   30 cm 
 • napájanie: 4 x 1,5 V (AA) batéria, nie je príslušenstvom 
 • ďalšie informácie: 8 funkcií 
 • 6 h ON / 18 h OFF časovač 
 • nastaviteľná svietivosť 
 • s diaľkovým ovládačom (CR2025 batéria, je príslušenstvom)</t>
        </is>
      </c>
    </row>
    <row r="701">
      <c r="A701" s="3" t="inlineStr">
        <is>
          <t>MLF 300/WW</t>
        </is>
      </c>
      <c r="B701" s="2" t="inlineStr">
        <is>
          <t>Micro LED cluster svietiaci záves, multicolor, 8 pr.</t>
        </is>
      </c>
      <c r="C701" s="1" t="n">
        <v>45.99</v>
      </c>
      <c r="D701" s="7" t="n">
        <f>HYPERLINK("https://www.somogyi.sk/product/micro-led-cluster-svietiaci-zaves-multicolor-8-pr-mlf-300-ww-16532","https://www.somogyi.sk/product/micro-led-cluster-svietiaci-zaves-multicolor-8-pr-mlf-300-ww-16532")</f>
        <v>0.0</v>
      </c>
      <c r="E701" s="7" t="n">
        <f>HYPERLINK("https://www.somogyi.sk/productimages/product_main_images/small/16532.jpg","https://www.somogyi.sk/productimages/product_main_images/small/16532.jpg")</f>
        <v>0.0</v>
      </c>
      <c r="F701" s="2" t="inlineStr">
        <is>
          <t>5999084945640</t>
        </is>
      </c>
      <c r="G701" s="4" t="inlineStr">
        <is>
          <t xml:space="preserve"> • umiestnenie: na vonkajšie / vnútorné použitie 
 • zdroj svetla: LED 
 • počet zdrojov svetla: 300 ks 
 • farba zdrojov svetla: teplá biela 
 • funkcie: 8 programov / 4 stupne svietivosti / priebežná prevádzka alebo časovač 
 • farba kábla: transparentný 
 • dĺžka: 3 m 
 • napájanie: IP44 vonkajší adaptér 
 • ďalšie informácie: s diaľkovým ovládačom (CR2025 batéria je príslušenstvom)</t>
        </is>
      </c>
    </row>
    <row r="702">
      <c r="A702" s="3" t="inlineStr">
        <is>
          <t>ML 250G/WW</t>
        </is>
      </c>
      <c r="B702" s="2" t="inlineStr">
        <is>
          <t>Zväzok micro LED svietiacich reťazcov, teplá biela, zelený kábel, IP44, dimmer</t>
        </is>
      </c>
      <c r="C702" s="1" t="n">
        <v>21.99</v>
      </c>
      <c r="D702" s="7" t="n">
        <f>HYPERLINK("https://www.somogyi.sk/product/zvazok-micro-led-svietiacich-retazcov-tepla-biela-zeleny-kabel-ip44-dimmer-ml-250g-ww-16533","https://www.somogyi.sk/product/zvazok-micro-led-svietiacich-retazcov-tepla-biela-zeleny-kabel-ip44-dimmer-ml-250g-ww-16533")</f>
        <v>0.0</v>
      </c>
      <c r="E702" s="7" t="n">
        <f>HYPERLINK("https://www.somogyi.sk/productimages/product_main_images/small/16533.jpg","https://www.somogyi.sk/productimages/product_main_images/small/16533.jpg")</f>
        <v>0.0</v>
      </c>
      <c r="F702" s="2" t="inlineStr">
        <is>
          <t>5999084945657</t>
        </is>
      </c>
      <c r="G702" s="4" t="inlineStr">
        <is>
          <t xml:space="preserve"> • umiestnenie: na vonkajšie / vnútorné použitie 
 • zdroj svetla: micro LED 
 • počet zdrojov svetla: 250 ks 
 • farba zdrojov svetla: 25m ks teplých bielych, žiarivých micro LED 
 • funkcie: nastaviteľná svietivosť (100/75/50/25%) 
 • priebežná prevádzka alebo 6h ON/18h OFF časovač 
 • farba kábla: zelený, tenký kábel 
 • rozmery: 2,4 m 
 • napájanie: IP44 vonkajší adaptér 
 • ďalšie informácie: 10 reťazcí / 25 LED na jednom reťazci 
 • prísavka je príslušenstvom</t>
        </is>
      </c>
    </row>
    <row r="703">
      <c r="A703" s="3" t="inlineStr">
        <is>
          <t>MLF 400/WH</t>
        </is>
      </c>
      <c r="B703" s="2" t="inlineStr">
        <is>
          <t>Micro LED svetelný záves</t>
        </is>
      </c>
      <c r="C703" s="1" t="n">
        <v>25.99</v>
      </c>
      <c r="D703" s="7" t="n">
        <f>HYPERLINK("https://www.somogyi.sk/product/micro-led-svetelny-zaves-mlf-400-wh-18135","https://www.somogyi.sk/product/micro-led-svetelny-zaves-mlf-400-wh-18135")</f>
        <v>0.0</v>
      </c>
      <c r="E703" s="7" t="n">
        <f>HYPERLINK("https://www.somogyi.sk/productimages/product_main_images/small/18135.jpg","https://www.somogyi.sk/productimages/product_main_images/small/18135.jpg")</f>
        <v>0.0</v>
      </c>
      <c r="F703" s="2" t="inlineStr">
        <is>
          <t>5999084961572</t>
        </is>
      </c>
      <c r="G703" s="4" t="inlineStr">
        <is>
          <t xml:space="preserve"> • na vonkajšie a vnútorné použitie 
 • 400 ks teplých bielych LED 
 • rozmery závesu: 2 x 2 m 
 • vzdialenosť: medzi LED: 10 cm / medzi reťazcami: 10 cm 
 • 5 m napájací kábel 
 • napájanie: vonkajší IP44 sieťový adaptér</t>
        </is>
      </c>
    </row>
    <row r="704">
      <c r="A704" s="3" t="inlineStr">
        <is>
          <t>ML 250G/WH</t>
        </is>
      </c>
      <c r="B704" s="2" t="inlineStr">
        <is>
          <t>Zväzok micro LED svietiacich reťazcov</t>
        </is>
      </c>
      <c r="C704" s="1" t="n">
        <v>21.99</v>
      </c>
      <c r="D704" s="7" t="n">
        <f>HYPERLINK("https://www.somogyi.sk/product/zvazok-micro-led-svietiacich-retazcov-ml-250g-wh-16986","https://www.somogyi.sk/product/zvazok-micro-led-svietiacich-retazcov-ml-250g-wh-16986")</f>
        <v>0.0</v>
      </c>
      <c r="E704" s="7" t="n">
        <f>HYPERLINK("https://www.somogyi.sk/productimages/product_main_images/small/16986.jpg","https://www.somogyi.sk/productimages/product_main_images/small/16986.jpg")</f>
        <v>0.0</v>
      </c>
      <c r="F704" s="2" t="inlineStr">
        <is>
          <t>5999084950187</t>
        </is>
      </c>
      <c r="G704" s="4" t="inlineStr">
        <is>
          <t xml:space="preserve"> • umiestnenie: na vonkajšie / vnútorné použitie 
 • zdroj svetla: micro LED 
 • počet zdrojov svetla: 250 ks 
 • farba zdrojov svetla: 250 kd studených bielych, žiariacich bodových micro LED 
 • funkcie: nastaviteľná svietivosť (100/75/50/25%) priebežný prevádzkový čas alebo 6h ON/18h OFF časovač 
 • farba kábla: zelený, tenký kábel 
 • rozmery: 2,4 m 
 • napájanie: sieťový adaptér IP44 na vonkajšie použitie 
 • ďalšie informácie: 10 reťazcí / 25 LED na jednom reťazci, prísavka je príslušenstvom</t>
        </is>
      </c>
    </row>
    <row r="705">
      <c r="A705" s="3" t="inlineStr">
        <is>
          <t>LEDS096V</t>
        </is>
      </c>
      <c r="B705" s="2" t="inlineStr">
        <is>
          <t>iSparkle LED svietiaci reťazec, SMART, RGB, 96 LED, IP44</t>
        </is>
      </c>
      <c r="C705" s="1" t="n">
        <v>56.99</v>
      </c>
      <c r="D705" s="7" t="n">
        <f>HYPERLINK("https://www.somogyi.sk/product/isparkle-led-svietiaci-retazec-smart-rgb-96-led-ip44-leds096v-17711","https://www.somogyi.sk/product/isparkle-led-svietiaci-retazec-smart-rgb-96-led-ip44-leds096v-17711")</f>
        <v>0.0</v>
      </c>
      <c r="E705" s="7" t="n">
        <f>HYPERLINK("https://www.somogyi.sk/productimages/product_main_images/small/17711.jpg","https://www.somogyi.sk/productimages/product_main_images/small/17711.jpg")</f>
        <v>0.0</v>
      </c>
      <c r="F705" s="2" t="inlineStr">
        <is>
          <t>5999084957339</t>
        </is>
      </c>
      <c r="G705" s="4" t="inlineStr">
        <is>
          <t xml:space="preserve"> • na vnútorné a vonkajšie použitie 
 • 96 ks RGB LED 
 • ovládanie pomocou aplikácie 
 • iSparkle nastaviteľné farby a režimy 
 • viacero produktov je možné zoskupiť a ovládať súčasne 
 • napájanie: sieťový adaptér IP44 na vonkajšie použitie 
 • farba kábla: zelená</t>
        </is>
      </c>
    </row>
    <row r="706">
      <c r="A706" s="3" t="inlineStr">
        <is>
          <t>LEDS198V</t>
        </is>
      </c>
      <c r="B706" s="2" t="inlineStr">
        <is>
          <t>iSparkle LED svietiaci reťazec, SMART, RGB, 198 LED, IP44</t>
        </is>
      </c>
      <c r="C706" s="1" t="n">
        <v>82.99</v>
      </c>
      <c r="D706" s="7" t="n">
        <f>HYPERLINK("https://www.somogyi.sk/product/isparkle-led-svietiaci-retazec-smart-rgb-198-led-ip44-leds198v-17712","https://www.somogyi.sk/product/isparkle-led-svietiaci-retazec-smart-rgb-198-led-ip44-leds198v-17712")</f>
        <v>0.0</v>
      </c>
      <c r="E706" s="7" t="n">
        <f>HYPERLINK("https://www.somogyi.sk/productimages/product_main_images/small/17712.jpg","https://www.somogyi.sk/productimages/product_main_images/small/17712.jpg")</f>
        <v>0.0</v>
      </c>
      <c r="F706" s="2" t="inlineStr">
        <is>
          <t>5999084957346</t>
        </is>
      </c>
      <c r="G706" s="4" t="inlineStr">
        <is>
          <t xml:space="preserve"> • na vnútorné a vonkajšie použitie 
 • 198 ks RGB LED 
 • ovládanie pomocou aplikáciem iSparkle 
 • nastaviteľné farby a režimy 
 • viacero produktov je možné zoskupiť a ovládať súčasne 
 • napájanie: sieťový adaptér IP44 na vonkajšie použitie 
 • farba kábla: zelená</t>
        </is>
      </c>
    </row>
    <row r="707">
      <c r="A707" s="3" t="inlineStr">
        <is>
          <t>ML 20/WW</t>
        </is>
      </c>
      <c r="B707" s="2" t="inlineStr">
        <is>
          <t>LED reťazec</t>
        </is>
      </c>
      <c r="C707" s="1" t="n">
        <v>2.39</v>
      </c>
      <c r="D707" s="7" t="n">
        <f>HYPERLINK("https://www.somogyi.sk/product/led-retazec-ml-20-ww-14718","https://www.somogyi.sk/product/led-retazec-ml-20-ww-14718")</f>
        <v>0.0</v>
      </c>
      <c r="E707" s="7" t="n">
        <f>HYPERLINK("https://www.somogyi.sk/productimages/product_main_images/small/14718.jpg","https://www.somogyi.sk/productimages/product_main_images/small/14718.jpg")</f>
        <v>0.0</v>
      </c>
      <c r="F707" s="2" t="inlineStr">
        <is>
          <t>5999084927608</t>
        </is>
      </c>
      <c r="G707" s="4" t="inlineStr">
        <is>
          <t xml:space="preserve"> • umiestnenie: vnútorné použitie 
 • zdroj svetla: mikro LED 
 • počet zdrojov svetla: 20 ks 
 • farba zdrojov svetla: teplá biela 
 • funkcie: - 
 • farba kábla: transparentný 
 • dĺžka: 1,9 m 
 • napájanie: 2 x AA batéria (nie je príslušenstvom) 
 • ďalšie informácie: držiak batérií, s vypínačom</t>
        </is>
      </c>
    </row>
    <row r="708">
      <c r="A708" s="3" t="inlineStr">
        <is>
          <t>ML 50/WW</t>
        </is>
      </c>
      <c r="B708" s="2" t="inlineStr">
        <is>
          <t>LED svietiaci reťazec</t>
        </is>
      </c>
      <c r="C708" s="1" t="n">
        <v>3.79</v>
      </c>
      <c r="D708" s="7" t="n">
        <f>HYPERLINK("https://www.somogyi.sk/product/led-svietiaci-retazec-ml-50-ww-14719","https://www.somogyi.sk/product/led-svietiaci-retazec-ml-50-ww-14719")</f>
        <v>0.0</v>
      </c>
      <c r="E708" s="7" t="n">
        <f>HYPERLINK("https://www.somogyi.sk/productimages/product_main_images/small/14719.jpg","https://www.somogyi.sk/productimages/product_main_images/small/14719.jpg")</f>
        <v>0.0</v>
      </c>
      <c r="F708" s="2" t="inlineStr">
        <is>
          <t>5999084927615</t>
        </is>
      </c>
      <c r="G708" s="4" t="inlineStr">
        <is>
          <t xml:space="preserve"> • umiestnenie: vnútorné použitie 
 • zdroj svetla: mikro LED 
 • počet zdrojov svetla: 50 ks 
 • farba zdrojov svetla: teplá biela 
 • funkcie: - 
 • farba kábla: transparentný 
 • dĺžka: 4,9 m 
 • napájanie: 3 x AA batéria (nie je príslušenstvom) 
 • ďalšie informácie: držiak batérií, s vypínačom</t>
        </is>
      </c>
    </row>
    <row r="709">
      <c r="A709" s="3" t="inlineStr">
        <is>
          <t>ML 80/WH</t>
        </is>
      </c>
      <c r="B709" s="2" t="inlineStr">
        <is>
          <t>LED svietiaci reťazec</t>
        </is>
      </c>
      <c r="C709" s="1" t="n">
        <v>10.99</v>
      </c>
      <c r="D709" s="7" t="n">
        <f>HYPERLINK("https://www.somogyi.sk/product/led-svietiaci-retazec-ml-80-wh-14720","https://www.somogyi.sk/product/led-svietiaci-retazec-ml-80-wh-14720")</f>
        <v>0.0</v>
      </c>
      <c r="E709" s="7" t="n">
        <f>HYPERLINK("https://www.somogyi.sk/productimages/product_main_images/small/14720.jpg","https://www.somogyi.sk/productimages/product_main_images/small/14720.jpg")</f>
        <v>0.0</v>
      </c>
      <c r="F709" s="2" t="inlineStr">
        <is>
          <t>5999084927622</t>
        </is>
      </c>
      <c r="G709" s="4" t="inlineStr">
        <is>
          <t xml:space="preserve"> • umiestnenie: vonkajšie / vnútorné použitie 
 • zdroj svetla: mikro LED 
 • počet zdrojov svetla: 80 ks 
 • farba zdrojov svetla: studená biela 
 • funkcie: - 
 • farba kábla: medená farba 
 • dĺžka: 7,9 m 
 • napájanie: 230 V~ (adaptérové)</t>
        </is>
      </c>
    </row>
    <row r="710">
      <c r="A710" s="3" t="inlineStr">
        <is>
          <t>ML 200/WH</t>
        </is>
      </c>
      <c r="B710" s="2" t="inlineStr">
        <is>
          <t>Zväzok micro LED svietiacich reťazcov</t>
        </is>
      </c>
      <c r="C710" s="1" t="n">
        <v>16.99</v>
      </c>
      <c r="D710" s="7" t="n">
        <f>HYPERLINK("https://www.somogyi.sk/product/zvazok-micro-led-svietiacich-retazcov-ml-200-wh-14721","https://www.somogyi.sk/product/zvazok-micro-led-svietiacich-retazcov-ml-200-wh-14721")</f>
        <v>0.0</v>
      </c>
      <c r="E710" s="7" t="n">
        <f>HYPERLINK("https://www.somogyi.sk/productimages/product_main_images/small/14721.jpg","https://www.somogyi.sk/productimages/product_main_images/small/14721.jpg")</f>
        <v>0.0</v>
      </c>
      <c r="F710" s="2" t="inlineStr">
        <is>
          <t>5999084927639</t>
        </is>
      </c>
      <c r="G710" s="4" t="inlineStr">
        <is>
          <t xml:space="preserve"> • umiestnenie: vonkajšie / vnútorné použitie 
 • zdroj svetla: mikro LED 
 • počet zdrojov svetla: 200 ks 
 • farba zdrojov svetla: studená biela 
 • funkcie: - 
 • farba kábla: medená farba 
 • dĺžka: 1,9 m 
 • napájanie: 230 V~ (adaptérové)</t>
        </is>
      </c>
    </row>
    <row r="711">
      <c r="A711" s="3" t="inlineStr">
        <is>
          <t>LEDS120DV</t>
        </is>
      </c>
      <c r="B711" s="2" t="inlineStr">
        <is>
          <t>iSparkle LED svietiaci reťazec, dekorácia guľa, SMART, RGB, 120 LED, IP44</t>
        </is>
      </c>
      <c r="C711" s="1" t="n">
        <v>68.99</v>
      </c>
      <c r="D711" s="7" t="n">
        <f>HYPERLINK("https://www.somogyi.sk/product/isparkle-led-svietiaci-retazec-dekoracia-gula-smart-rgb-120-led-ip44-leds120dv-17713","https://www.somogyi.sk/product/isparkle-led-svietiaci-retazec-dekoracia-gula-smart-rgb-120-led-ip44-leds120dv-17713")</f>
        <v>0.0</v>
      </c>
      <c r="E711" s="7" t="n">
        <f>HYPERLINK("https://www.somogyi.sk/productimages/product_main_images/small/17713.jpg","https://www.somogyi.sk/productimages/product_main_images/small/17713.jpg")</f>
        <v>0.0</v>
      </c>
      <c r="F711" s="2" t="inlineStr">
        <is>
          <t>5999084957353</t>
        </is>
      </c>
      <c r="G711" s="4" t="inlineStr">
        <is>
          <t xml:space="preserve"> • na vnútorné a vonkajšie použitie 
 • 120 ks RGB LED 
 • 1,5 cm opálová guľová dekorácia 
 • ovládanie pomocou aplikácie iSparkle 
 • nastaviteľné farby a režimy 
 • viacero produktov je možné zoskupiť a ovládať súčasne 
 • napájanie: sieťový adaptér IP44 na vonkajšie použitie 
 • farba kábla: zelená</t>
        </is>
      </c>
    </row>
    <row r="712">
      <c r="A712" s="3" t="inlineStr">
        <is>
          <t>MLC 58/WH</t>
        </is>
      </c>
      <c r="B712" s="2" t="inlineStr">
        <is>
          <t>LED svietiaci reťazec, s časovačom, 4,9m, 4,5V</t>
        </is>
      </c>
      <c r="C712" s="1" t="n">
        <v>9.49</v>
      </c>
      <c r="D712" s="7" t="n">
        <f>HYPERLINK("https://www.somogyi.sk/product/led-svietiaci-retazec-s-casovacom-4-9m-4-5v-mlc-58-wh-14845","https://www.somogyi.sk/product/led-svietiaci-retazec-s-casovacom-4-9m-4-5v-mlc-58-wh-14845")</f>
        <v>0.0</v>
      </c>
      <c r="E712" s="7" t="n">
        <f>HYPERLINK("https://www.somogyi.sk/productimages/product_main_images/small/14845.jpg","https://www.somogyi.sk/productimages/product_main_images/small/14845.jpg")</f>
        <v>0.0</v>
      </c>
      <c r="F712" s="2" t="inlineStr">
        <is>
          <t>5999084928827</t>
        </is>
      </c>
      <c r="G712" s="4" t="inlineStr">
        <is>
          <t xml:space="preserve"> • umiestnenie: vnútorné použitie 
 • zdroj svetla: LED 
 • počet zdrojov svetla: 50 ks 
 • farba zdrojov svetla: studená biela 
 • funkcie: 8 programov 
 • farba kábla: zelená 
 • dĺžka: 4,9 m 
 • napájanie: 3 x AA batéria (nie je príslušenstvom) 
 • ďalšie informácie: časovač:  6 hodín svietenia, 18 hodín prestávka</t>
        </is>
      </c>
    </row>
    <row r="713">
      <c r="A713" s="3" t="inlineStr">
        <is>
          <t>LC 768/WH</t>
        </is>
      </c>
      <c r="B713" s="2" t="inlineStr">
        <is>
          <t>LED cluster svietiaci reťazec</t>
        </is>
      </c>
      <c r="C713" s="1" t="n">
        <v>57.99</v>
      </c>
      <c r="D713" s="7" t="n">
        <f>HYPERLINK("https://www.somogyi.sk/product/led-cluster-svietiaci-retazec-lc-768-wh-17329","https://www.somogyi.sk/product/led-cluster-svietiaci-retazec-lc-768-wh-17329")</f>
        <v>0.0</v>
      </c>
      <c r="E713" s="7" t="n">
        <f>HYPERLINK("https://www.somogyi.sk/productimages/product_main_images/small/17329.jpg","https://www.somogyi.sk/productimages/product_main_images/small/17329.jpg")</f>
        <v>0.0</v>
      </c>
      <c r="F713" s="2" t="inlineStr">
        <is>
          <t>5999084953515</t>
        </is>
      </c>
      <c r="G713" s="4" t="inlineStr">
        <is>
          <t xml:space="preserve"> • umiestnenie: na vonkajšie / vnútorné použitie 
 • zdroj svetla: LED 
 • počet zdrojov svetla: 768 ks 
 • farba zdrojov svetla: studená biela 
 • funkcie: 8 funkcií, pamäť, nastaviteľná svietivosť, nepretržitý režim alebo 6h ON/18h OFF / 8h ON/16h OFF / 6h ON/6h OFF opakované časovanie 
 • dĺžka: 7,5 m 
 • napájanie: IP44 sieťový adaptér na vonkajšie použitie (je príslušenstvom) 
 • ďalšie informácie: diaľkový ovládač (CR2025 batéria, je príslušenstvom)</t>
        </is>
      </c>
    </row>
    <row r="714">
      <c r="A714" s="3" t="inlineStr">
        <is>
          <t>LEDS120CV</t>
        </is>
      </c>
      <c r="B714" s="2" t="inlineStr">
        <is>
          <t>iSparkle LED svietiaci záves, SMART, RGB, 120 LED, IP44</t>
        </is>
      </c>
      <c r="C714" s="1" t="n">
        <v>69.99</v>
      </c>
      <c r="D714" s="7" t="n">
        <f>HYPERLINK("https://www.somogyi.sk/product/isparkle-led-svietiaci-zaves-smart-rgb-120-led-ip44-leds120cv-17714","https://www.somogyi.sk/product/isparkle-led-svietiaci-zaves-smart-rgb-120-led-ip44-leds120cv-17714")</f>
        <v>0.0</v>
      </c>
      <c r="E714" s="7" t="n">
        <f>HYPERLINK("https://www.somogyi.sk/productimages/product_main_images/small/17714.jpg","https://www.somogyi.sk/productimages/product_main_images/small/17714.jpg")</f>
        <v>0.0</v>
      </c>
      <c r="F714" s="2" t="inlineStr">
        <is>
          <t>5999084957360</t>
        </is>
      </c>
      <c r="G714" s="4" t="inlineStr">
        <is>
          <t xml:space="preserve"> • na vnútorné a vonkajšie použitie 
 • 120 ks RGB LED 
 • ovládanie pomocou aplikácie iSparkle 
 • nastaviteľné farby a režimy 
 • 10 reťazcov 
 • viacero produktov je možné zoskupiť a ovládať súčasne 
 • napájanie: sieťový adaptér IP44 na vonkajšie použitie 
 • farba kábla: priesvitná</t>
        </is>
      </c>
    </row>
    <row r="715">
      <c r="A715" s="3" t="inlineStr">
        <is>
          <t>LEDS108IV-1</t>
        </is>
      </c>
      <c r="B715" s="2" t="inlineStr">
        <is>
          <t>iSparkle LED svietiaci reťazec, cencúle, SMART, RGB, 108 LED, IP44</t>
        </is>
      </c>
      <c r="C715" s="1" t="n">
        <v>65.99</v>
      </c>
      <c r="D715" s="7" t="n">
        <f>HYPERLINK("https://www.somogyi.sk/product/isparkle-led-svietiaci-retazec-cencule-smart-rgb-108-led-ip44-leds108iv-1-17715","https://www.somogyi.sk/product/isparkle-led-svietiaci-retazec-cencule-smart-rgb-108-led-ip44-leds108iv-1-17715")</f>
        <v>0.0</v>
      </c>
      <c r="E715" s="7" t="n">
        <f>HYPERLINK("https://www.somogyi.sk/productimages/product_main_images/small/17715.jpg","https://www.somogyi.sk/productimages/product_main_images/small/17715.jpg")</f>
        <v>0.0</v>
      </c>
      <c r="F715" s="2" t="inlineStr">
        <is>
          <t>5999084957377</t>
        </is>
      </c>
      <c r="G715" s="4" t="inlineStr">
        <is>
          <t xml:space="preserve"> • na vnútorné a vonkajšie použitie 
 • 108 ks RGB LED 
 • ovládanie pomocou aplikácie iSparkle 
 • 6/3/6/3 ... reťazce, 24 reťazcov 
 • nastaviteľné farby a režimy 
 • viacero produktov je možné zoskupiť a ovládať súčasne 
 • napájanie: sieťový adaptér IP44 na vonkajšie použitie 
 • farba kábla: priesvitná</t>
        </is>
      </c>
    </row>
    <row r="716">
      <c r="A716" s="3" t="inlineStr">
        <is>
          <t>LEDS120V-C</t>
        </is>
      </c>
      <c r="B716" s="2" t="inlineStr">
        <is>
          <t>iSparkle microLED cluster svietiaci reťazec, SMART, RGB, 120 LED, IP44</t>
        </is>
      </c>
      <c r="C716" s="1" t="n">
        <v>80.99</v>
      </c>
      <c r="D716" s="7" t="n">
        <f>HYPERLINK("https://www.somogyi.sk/product/isparkle-microled-cluster-svietiaci-retazec-smart-rgb-120-led-ip44-leds120v-c-17716","https://www.somogyi.sk/product/isparkle-microled-cluster-svietiaci-retazec-smart-rgb-120-led-ip44-leds120v-c-17716")</f>
        <v>0.0</v>
      </c>
      <c r="E716" s="7" t="n">
        <f>HYPERLINK("https://www.somogyi.sk/productimages/product_main_images/small/17716.jpg","https://www.somogyi.sk/productimages/product_main_images/small/17716.jpg")</f>
        <v>0.0</v>
      </c>
      <c r="F716" s="2" t="inlineStr">
        <is>
          <t>5999084957384</t>
        </is>
      </c>
      <c r="G716" s="4" t="inlineStr">
        <is>
          <t xml:space="preserve"> • umiestnenie: na vonkajšie / vnútorné použitie 
 • zdroj svetla: RGB micro LED 
 • počet zdrojov svetla: 120 ks 
 • farba zdrojov svetla: 8 druhov 
 • funkcie: 64 druhov 
 • farba kábla: strieborná 
 • dĺžka: 8 m (3 m füzérhossz   5 m tápvezeték) 
 • napájanie: IP44 sieťový adaptér na vonkajšie použitie (je príslušenstvom)</t>
        </is>
      </c>
    </row>
    <row r="717">
      <c r="A717" s="3" t="inlineStr">
        <is>
          <t>LEDS120CV-2</t>
        </is>
      </c>
      <c r="B717" s="2" t="inlineStr">
        <is>
          <t>iSparkle microLED svietiaci záves, SMART, RGB, 120 LED, IP44</t>
        </is>
      </c>
      <c r="C717" s="1" t="n">
        <v>89.99</v>
      </c>
      <c r="D717" s="7" t="n">
        <f>HYPERLINK("https://www.somogyi.sk/product/isparkle-microled-svietiaci-zaves-smart-rgb-120-led-ip44-leds120cv-2-17717","https://www.somogyi.sk/product/isparkle-microled-svietiaci-zaves-smart-rgb-120-led-ip44-leds120cv-2-17717")</f>
        <v>0.0</v>
      </c>
      <c r="E717" s="7" t="n">
        <f>HYPERLINK("https://www.somogyi.sk/productimages/product_main_images/small/17717.jpg","https://www.somogyi.sk/productimages/product_main_images/small/17717.jpg")</f>
        <v>0.0</v>
      </c>
      <c r="F717" s="2" t="inlineStr">
        <is>
          <t>5999084957391</t>
        </is>
      </c>
      <c r="G717" s="4" t="inlineStr">
        <is>
          <t xml:space="preserve"> • na vnútorné a vonkajšie použitie 
 • 120 ks RGB micro LED 
 • ovládanie pomocou aplikácie iSparkle 
 • 6 reťazcov 
 • nastaviteľné farby a režimy 
 • viacero produktov je možné zoskupiť a ovládať súčasne 
 • 5 m napájací kábel 
 • napájanie: sieťový adaptér IP44 na vonkajšie použitie 
 • farba kábla: strieborná</t>
        </is>
      </c>
    </row>
    <row r="718">
      <c r="A718" s="3" t="inlineStr">
        <is>
          <t>LEDS144C-APP</t>
        </is>
      </c>
      <c r="B718" s="2" t="inlineStr">
        <is>
          <t>iSparkle LED svietiaci reťazec, zväzok, SMART, RGB, 144 LED, IP44</t>
        </is>
      </c>
      <c r="C718" s="1" t="n">
        <v>74.99</v>
      </c>
      <c r="D718" s="7" t="n">
        <f>HYPERLINK("https://www.somogyi.sk/product/isparkle-led-svietiaci-retazec-zvazok-smart-rgb-144-led-ip44-leds144c-app-17718","https://www.somogyi.sk/product/isparkle-led-svietiaci-retazec-zvazok-smart-rgb-144-led-ip44-leds144c-app-17718")</f>
        <v>0.0</v>
      </c>
      <c r="E718" s="7" t="n">
        <f>HYPERLINK("https://www.somogyi.sk/productimages/product_main_images/small/17718.jpg","https://www.somogyi.sk/productimages/product_main_images/small/17718.jpg")</f>
        <v>0.0</v>
      </c>
      <c r="F718" s="2" t="inlineStr">
        <is>
          <t>5999084957407</t>
        </is>
      </c>
      <c r="G718" s="4" t="inlineStr">
        <is>
          <t xml:space="preserve"> • na vnútorné a vonkajšie použitie 
 • 144 ks RGB LED 
 • ovládanie pomocou aplikácie iSparkle 
 • 8 x 1,8 m dĺžka reťazca 
 • 18 LED na jednom reťazci 
 • nastaviteľné farby a režimy 
 • viacero produktov je možné zoskupiť a ovládať súčasne 
 • 5 m napájací kábel 
 • napájanie: sieťový adaptér IP44 na vonkajšie použitie 
 • farba kábla: zelená</t>
        </is>
      </c>
    </row>
    <row r="719">
      <c r="A719" s="3" t="inlineStr">
        <is>
          <t>MLF 200/WW</t>
        </is>
      </c>
      <c r="B719" s="2" t="inlineStr">
        <is>
          <t>Micro LED svietiaci záves, 3 x 2 m, 10 reťazov / 20 LED, teplá biela, 8pr.</t>
        </is>
      </c>
      <c r="C719" s="1" t="n">
        <v>19.99</v>
      </c>
      <c r="D719" s="7" t="n">
        <f>HYPERLINK("https://www.somogyi.sk/product/micro-led-svietiaci-zaves-3-x-2-m-10-retazov-20-led-tepla-biela-8pr-mlf-200-ww-17720","https://www.somogyi.sk/product/micro-led-svietiaci-zaves-3-x-2-m-10-retazov-20-led-tepla-biela-8pr-mlf-200-ww-17720")</f>
        <v>0.0</v>
      </c>
      <c r="E719" s="7" t="n">
        <f>HYPERLINK("https://www.somogyi.sk/productimages/product_main_images/small/17720.jpg","https://www.somogyi.sk/productimages/product_main_images/small/17720.jpg")</f>
        <v>0.0</v>
      </c>
      <c r="F719" s="2" t="inlineStr">
        <is>
          <t>5999084957421</t>
        </is>
      </c>
      <c r="G719" s="4" t="inlineStr">
        <is>
          <t xml:space="preserve"> • umiestnenie: na vnútorné použitie 
 • zdroj svetla: micro LED 
 • počet zdrojov svetla: 200 ks 
 • farba zdrojov svetla: teplá biela 
 • rozmery: 3 m x 2 m 
 • napájanie: USB (adaptér nie je príslušenstvom) 
 • ďalšie informácie: 10 reťazcov, 20 LED na jednom reťazci</t>
        </is>
      </c>
    </row>
    <row r="720">
      <c r="A720" s="3" t="inlineStr">
        <is>
          <t>MLF 200/WH</t>
        </is>
      </c>
      <c r="B720" s="2" t="inlineStr">
        <is>
          <t>Micro LED svietiaci záves, 3 x 2 m, 10 reťazcí / 20 LED, studená biela, 8 programov</t>
        </is>
      </c>
      <c r="C720" s="1" t="n">
        <v>19.99</v>
      </c>
      <c r="D720" s="7" t="n">
        <f>HYPERLINK("https://www.somogyi.sk/product/micro-led-svietiaci-zaves-3-x-2-m-10-retazci-20-led-studena-biela-8-programov-mlf-200-wh-17721","https://www.somogyi.sk/product/micro-led-svietiaci-zaves-3-x-2-m-10-retazci-20-led-studena-biela-8-programov-mlf-200-wh-17721")</f>
        <v>0.0</v>
      </c>
      <c r="E720" s="7" t="n">
        <f>HYPERLINK("https://www.somogyi.sk/productimages/product_main_images/small/17721.jpg","https://www.somogyi.sk/productimages/product_main_images/small/17721.jpg")</f>
        <v>0.0</v>
      </c>
      <c r="F720" s="2" t="inlineStr">
        <is>
          <t>5999084957438</t>
        </is>
      </c>
      <c r="G720" s="4" t="inlineStr">
        <is>
          <t xml:space="preserve"> • umiestnenie: na vnútorné použitie 
 • zdroj svetla: micro LED 
 • počet zdrojov svetla: 200 ks 
 • farba zdrojov svetla: studená biela 
 • rozmery: 3 m x 2 m 
 • napájanie: USB (adaptér nie je príslušenstvom) 
 • ďalšie informácie: 10 reťazcov, 20 LED na jednom reťazci</t>
        </is>
      </c>
    </row>
    <row r="721">
      <c r="A721" s="3" t="inlineStr">
        <is>
          <t>MLC 58/WW</t>
        </is>
      </c>
      <c r="B721" s="2" t="inlineStr">
        <is>
          <t>LED svietiaci reťazec, 50 LED, teplá biela, s časovačom</t>
        </is>
      </c>
      <c r="C721" s="1" t="n">
        <v>9.49</v>
      </c>
      <c r="D721" s="7" t="n">
        <f>HYPERLINK("https://www.somogyi.sk/product/led-svietiaci-retazec-50-led-tepla-biela-s-casovacom-mlc-58-ww-15004","https://www.somogyi.sk/product/led-svietiaci-retazec-50-led-tepla-biela-s-casovacom-mlc-58-ww-15004")</f>
        <v>0.0</v>
      </c>
      <c r="E721" s="7" t="n">
        <f>HYPERLINK("https://www.somogyi.sk/productimages/product_main_images/small/15004.jpg","https://www.somogyi.sk/productimages/product_main_images/small/15004.jpg")</f>
        <v>0.0</v>
      </c>
      <c r="F721" s="2" t="inlineStr">
        <is>
          <t>5999084930387</t>
        </is>
      </c>
      <c r="G721" s="4" t="inlineStr">
        <is>
          <t xml:space="preserve"> • umiestnenie: vnútorné použitie 
 • zdroj svetla: LED 
 • počet zdrojov svetla: 50 ks 
 • farba zdrojov svetla: teplá biela 
 • funkcie: 8 programov 
 • farba kábla: zelená 
 • dĺžka: 4,9 m 
 • napájanie: 3 x AA batéria (nie je príslušenstvom) 
 • ďalšie informácie: časovač:  6 hodín svietenia, 18 hodín prestávka</t>
        </is>
      </c>
    </row>
    <row r="722">
      <c r="A722" s="3" t="inlineStr">
        <is>
          <t>MLF 240 RGB SMART</t>
        </is>
      </c>
      <c r="B722" s="2" t="inlineStr">
        <is>
          <t>Micro LED svietiaci záves, smart, 3 x 2,4 m,10 reťazcí / 24 LED, RGB</t>
        </is>
      </c>
      <c r="C722" s="1" t="n">
        <v>71.99</v>
      </c>
      <c r="D722" s="7" t="n">
        <f>HYPERLINK("https://www.somogyi.sk/product/micro-led-svietiaci-zaves-smart-3-x-2-4-m-10-retazci-24-led-rgb-mlf-240-rgb-smart-17722","https://www.somogyi.sk/product/micro-led-svietiaci-zaves-smart-3-x-2-4-m-10-retazci-24-led-rgb-mlf-240-rgb-smart-17722")</f>
        <v>0.0</v>
      </c>
      <c r="E722" s="7" t="n">
        <f>HYPERLINK("https://www.somogyi.sk/productimages/product_main_images/small/17722.jpg","https://www.somogyi.sk/productimages/product_main_images/small/17722.jpg")</f>
        <v>0.0</v>
      </c>
      <c r="F722" s="2" t="inlineStr">
        <is>
          <t>5999084957445</t>
        </is>
      </c>
      <c r="G722" s="4" t="inlineStr">
        <is>
          <t xml:space="preserve"> • umiestnenie: na vnútorné použitie 
 • zdroj svetla: RGB micro LED 
 • počet zdrojov svetla: 240 ks 
 • farba zdrojov svetla: 16 farieb 
 • rozmery: 3 m x 2,4 m</t>
        </is>
      </c>
    </row>
    <row r="723">
      <c r="A723" s="3" t="inlineStr">
        <is>
          <t>LED 100/A</t>
        </is>
      </c>
      <c r="B723" s="2" t="inlineStr">
        <is>
          <t>LED svietiaci reťazec</t>
        </is>
      </c>
      <c r="C723" s="1" t="n">
        <v>21.99</v>
      </c>
      <c r="D723" s="7" t="n">
        <f>HYPERLINK("https://www.somogyi.sk/product/led-svietiaci-retazec-led-100-a-17730","https://www.somogyi.sk/product/led-svietiaci-retazec-led-100-a-17730")</f>
        <v>0.0</v>
      </c>
      <c r="E723" s="7" t="n">
        <f>HYPERLINK("https://www.somogyi.sk/productimages/product_main_images/small/17730.jpg","https://www.somogyi.sk/productimages/product_main_images/small/17730.jpg")</f>
        <v>0.0</v>
      </c>
      <c r="F723" s="2" t="inlineStr">
        <is>
          <t>5999084957520</t>
        </is>
      </c>
      <c r="G723" s="4" t="inlineStr">
        <is>
          <t xml:space="preserve"> • umiestnenie: na vonkajšie / vnútorné použitie 
 • zdroj svetla: LED 
 • počet zdrojov svetla: 100 ks 
 • farba zdrojov svetla: jantárová 
 • farba kábla: zelená 
 • napájanie: IP44 sieťový adaptér na vonkajšie použitie</t>
        </is>
      </c>
    </row>
    <row r="724">
      <c r="A724" s="3" t="inlineStr">
        <is>
          <t>ML 160/WH</t>
        </is>
      </c>
      <c r="B724" s="2" t="inlineStr">
        <is>
          <t>Micro LED svietiaci reťazec, 160 LED, studená biela</t>
        </is>
      </c>
      <c r="C724" s="1" t="n">
        <v>15.49</v>
      </c>
      <c r="D724" s="7" t="n">
        <f>HYPERLINK("https://www.somogyi.sk/product/micro-led-svietiaci-retazec-160-led-studena-biela-ml-160-wh-17731","https://www.somogyi.sk/product/micro-led-svietiaci-retazec-160-led-studena-biela-ml-160-wh-17731")</f>
        <v>0.0</v>
      </c>
      <c r="E724" s="7" t="n">
        <f>HYPERLINK("https://www.somogyi.sk/productimages/product_main_images/small/17731.jpg","https://www.somogyi.sk/productimages/product_main_images/small/17731.jpg")</f>
        <v>0.0</v>
      </c>
      <c r="F724" s="2" t="inlineStr">
        <is>
          <t>5999084957537</t>
        </is>
      </c>
      <c r="G724" s="4" t="inlineStr">
        <is>
          <t xml:space="preserve"> • umiestnenie: na vonkajšie / vnútorné použitie 
 • zdroj svetla: micro LED 
 • počet zdrojov svetla: 160 ks 
 • farba zdrojov svetla: studená biela 
 • dĺžka: svietiaci reťazec: 15,9 m, napájací kábel: 3 m 
 • napájanie: IP44 sieťový adaptér na vonkajšie použitie</t>
        </is>
      </c>
    </row>
    <row r="725">
      <c r="A725" s="3" t="inlineStr">
        <is>
          <t>ML 160/WW</t>
        </is>
      </c>
      <c r="B725" s="2" t="inlineStr">
        <is>
          <t>Micro LED svietiaci reťazec, 160 LED, teplá biela</t>
        </is>
      </c>
      <c r="C725" s="1" t="n">
        <v>15.49</v>
      </c>
      <c r="D725" s="7" t="n">
        <f>HYPERLINK("https://www.somogyi.sk/product/micro-led-svietiaci-retazec-160-led-tepla-biela-ml-160-ww-17732","https://www.somogyi.sk/product/micro-led-svietiaci-retazec-160-led-tepla-biela-ml-160-ww-17732")</f>
        <v>0.0</v>
      </c>
      <c r="E725" s="7" t="n">
        <f>HYPERLINK("https://www.somogyi.sk/productimages/product_main_images/small/17732.jpg","https://www.somogyi.sk/productimages/product_main_images/small/17732.jpg")</f>
        <v>0.0</v>
      </c>
      <c r="F725" s="2" t="inlineStr">
        <is>
          <t>5999084957544</t>
        </is>
      </c>
      <c r="G725" s="4" t="inlineStr">
        <is>
          <t xml:space="preserve"> • umiestnenie: na vonkajšie / vnútorné použitie 
 • zdroj svetla: micro LED 
 • počet zdrojov svetla: 160 ks 
 • farba zdrojov svetla: teplá biela 
 • dĺžka: svietiaci reťazec: 15,9 m • napájací kábel: 3 m 
 • napájanie: IP44 sieťový adaptér na vonkajšie použitie</t>
        </is>
      </c>
    </row>
    <row r="726">
      <c r="A726" s="3" t="inlineStr">
        <is>
          <t>ML 30/WH</t>
        </is>
      </c>
      <c r="B726" s="2" t="inlineStr">
        <is>
          <t>Micro LED svietiaci reťazec, 30 studených bielych micro LED</t>
        </is>
      </c>
      <c r="C726" s="1" t="n">
        <v>2.89</v>
      </c>
      <c r="D726" s="7" t="n">
        <f>HYPERLINK("https://www.somogyi.sk/product/micro-led-svietiaci-retazec-30-studenych-bielych-micro-led-ml-30-wh-17733","https://www.somogyi.sk/product/micro-led-svietiaci-retazec-30-studenych-bielych-micro-led-ml-30-wh-17733")</f>
        <v>0.0</v>
      </c>
      <c r="E726" s="7" t="n">
        <f>HYPERLINK("https://www.somogyi.sk/productimages/product_main_images/small/17733.jpg","https://www.somogyi.sk/productimages/product_main_images/small/17733.jpg")</f>
        <v>0.0</v>
      </c>
      <c r="F726" s="2" t="inlineStr">
        <is>
          <t>5999084957551</t>
        </is>
      </c>
      <c r="G726" s="4" t="inlineStr">
        <is>
          <t xml:space="preserve"> • umiestnenie: na vnútorné použitie 
 • zdroj svetla: micro LED 
 • počet zdrojov svetla: 30 ks 
 • farba zdrojov svetla: studená biela 
 • funkcie: ON / OFF / TIMER (6 h ON / 18 h OFF) opakujúci sa časovač 
 • farba kábla: priesvitný 
 • dĺžka: 2,9 m 
 • napájanie: 2 x 1,5 V (AA) batéria, nie je príslušenstvom 
 • ďalšie informácie: jasne žiariace, bodové micro LED</t>
        </is>
      </c>
    </row>
    <row r="727">
      <c r="A727" s="3" t="inlineStr">
        <is>
          <t>ML 30/WW</t>
        </is>
      </c>
      <c r="B727" s="2" t="inlineStr">
        <is>
          <t>Micro LED svietiaci reťazec, 30 teplých bielych micro LED</t>
        </is>
      </c>
      <c r="C727" s="1" t="n">
        <v>2.89</v>
      </c>
      <c r="D727" s="7" t="n">
        <f>HYPERLINK("https://www.somogyi.sk/product/micro-led-svietiaci-retazec-30-teplych-bielych-micro-led-ml-30-ww-17734","https://www.somogyi.sk/product/micro-led-svietiaci-retazec-30-teplych-bielych-micro-led-ml-30-ww-17734")</f>
        <v>0.0</v>
      </c>
      <c r="E727" s="7" t="n">
        <f>HYPERLINK("https://www.somogyi.sk/productimages/product_main_images/small/17734.jpg","https://www.somogyi.sk/productimages/product_main_images/small/17734.jpg")</f>
        <v>0.0</v>
      </c>
      <c r="F727" s="2" t="inlineStr">
        <is>
          <t>5999084957568</t>
        </is>
      </c>
      <c r="G727" s="4" t="inlineStr">
        <is>
          <t xml:space="preserve"> • umiestnenie: na vnútorné použitie 
 • zdroj svetla: micro LED 
 • počet zdrojov svetla: 30 ks 
 • farba zdrojov svetla: teplá biela 
 • funkcie: ON / OFF / TIMER (6 h ON / 18 h OFF) opakujúci sa časovač 
 • farba kábla: priesvitný 
 • dĺžka: 2,9 m 
 • napájanie: 2 x 1,5 V (AA) batéria, nie je príslušenstvom 
 • ďalšie informácie: jasne žiariace, bodové micro LED</t>
        </is>
      </c>
    </row>
    <row r="728">
      <c r="A728" s="3" t="inlineStr">
        <is>
          <t>ML 30/M</t>
        </is>
      </c>
      <c r="B728" s="2" t="inlineStr">
        <is>
          <t>Micro LED svietiaci reťazec, 30 farebných micro LED</t>
        </is>
      </c>
      <c r="C728" s="1" t="n">
        <v>2.89</v>
      </c>
      <c r="D728" s="7" t="n">
        <f>HYPERLINK("https://www.somogyi.sk/product/micro-led-svietiaci-retazec-30-farebnych-micro-led-ml-30-m-17735","https://www.somogyi.sk/product/micro-led-svietiaci-retazec-30-farebnych-micro-led-ml-30-m-17735")</f>
        <v>0.0</v>
      </c>
      <c r="E728" s="7" t="n">
        <f>HYPERLINK("https://www.somogyi.sk/productimages/product_main_images/small/17735.jpg","https://www.somogyi.sk/productimages/product_main_images/small/17735.jpg")</f>
        <v>0.0</v>
      </c>
      <c r="F728" s="2" t="inlineStr">
        <is>
          <t>5999084957575</t>
        </is>
      </c>
      <c r="G728" s="4" t="inlineStr">
        <is>
          <t xml:space="preserve"> • umiestnenie: na vnútorné použitie 
 • zdroj svetla: micro LED 
 • počet zdrojov svetla: 30 ks 
 • farba zdrojov svetla: farebná 
 • funkcie: ON / OFF / TIMER (6 h ON / 18 h OFF) opakujúci sa časovač 
 • farba kábla: priesvitný 
 • dĺžka: 2,9 m 
 • napájanie: 2 x 1,5 V (AA) batéria, nie je príslušenstvom 
 • ďalšie informácie: jasne žiariace, bodové micro LED</t>
        </is>
      </c>
    </row>
    <row r="729">
      <c r="A729" s="3" t="inlineStr">
        <is>
          <t>ML 50/M</t>
        </is>
      </c>
      <c r="B729" s="2" t="inlineStr">
        <is>
          <t>Micro LED svietiaci reťazec, 50 farebných micro LED</t>
        </is>
      </c>
      <c r="C729" s="1" t="n">
        <v>3.79</v>
      </c>
      <c r="D729" s="7" t="n">
        <f>HYPERLINK("https://www.somogyi.sk/product/micro-led-svietiaci-retazec-50-farebnych-micro-led-ml-50-m-17736","https://www.somogyi.sk/product/micro-led-svietiaci-retazec-50-farebnych-micro-led-ml-50-m-17736")</f>
        <v>0.0</v>
      </c>
      <c r="E729" s="7" t="n">
        <f>HYPERLINK("https://www.somogyi.sk/productimages/product_main_images/small/17736.jpg","https://www.somogyi.sk/productimages/product_main_images/small/17736.jpg")</f>
        <v>0.0</v>
      </c>
      <c r="F729" s="2" t="inlineStr">
        <is>
          <t>5999084957582</t>
        </is>
      </c>
      <c r="G729" s="4" t="inlineStr">
        <is>
          <t xml:space="preserve"> • umiestnenie: na vnútorné použitie 
 • zdroj svetla: micro LED 
 • počet zdrojov svetla: 50 ks 
 • farba zdrojov svetla: farebná 
 • funkcie: ON / OFF / TIMER (6 h ON / 18 h OFF) opakujúci sa časovač 
 • farba kábla: transparentný 
 • dĺžka: 4,9 m 
 • napájanie: 3 x 1,5 V (AA) batéria, nie je príslušenstvom 
 • ďalšie informácie: žiariace, bodové micro LED</t>
        </is>
      </c>
    </row>
    <row r="730">
      <c r="A730" s="3" t="inlineStr">
        <is>
          <t>ML 50/WH</t>
        </is>
      </c>
      <c r="B730" s="2" t="inlineStr">
        <is>
          <t>Micro LED svietiaci reťazec, 50 studených bielych micro LED</t>
        </is>
      </c>
      <c r="C730" s="1" t="n">
        <v>3.79</v>
      </c>
      <c r="D730" s="7" t="n">
        <f>HYPERLINK("https://www.somogyi.sk/product/micro-led-svietiaci-retazec-50-studenych-bielych-micro-led-ml-50-wh-17737","https://www.somogyi.sk/product/micro-led-svietiaci-retazec-50-studenych-bielych-micro-led-ml-50-wh-17737")</f>
        <v>0.0</v>
      </c>
      <c r="E730" s="7" t="n">
        <f>HYPERLINK("https://www.somogyi.sk/productimages/product_main_images/small/17737.jpg","https://www.somogyi.sk/productimages/product_main_images/small/17737.jpg")</f>
        <v>0.0</v>
      </c>
      <c r="F730" s="2" t="inlineStr">
        <is>
          <t>5999084957599</t>
        </is>
      </c>
      <c r="G730" s="4" t="inlineStr">
        <is>
          <t xml:space="preserve"> • umiestnenie: na vnútorné použitie 
 • zdroj svetla: micro LED 
 • počet zdrojov svetla: 50 ks 
 • farba zdrojov svetla: studená biela 
 • funkcie: ON / OFF / TIMER (6 h ON / 18 h OFF) opakujúci sa časovač 
 • farba kábla: transparentný 
 • dĺžka: 4,9 m 
 • napájanie: 3 x 1,5 V (AA) batéria, nie je príslušenstvom 
 • ďalšie informácie: žiariace, bodové micro LED</t>
        </is>
      </c>
    </row>
    <row r="731">
      <c r="A731" s="3" t="inlineStr">
        <is>
          <t>MLCS 600/M</t>
        </is>
      </c>
      <c r="B731" s="2" t="inlineStr">
        <is>
          <t>Micro LED cluster svietiaci reťazec, 600 LED, 3 9m, multicolor, 8pr</t>
        </is>
      </c>
      <c r="C731" s="1" t="n">
        <v>85.99</v>
      </c>
      <c r="D731" s="7" t="n">
        <f>HYPERLINK("https://www.somogyi.sk/product/micro-led-cluster-svietiaci-retazec-600-led-3-9m-multicolor-8pr-mlcs-600-m-17738","https://www.somogyi.sk/product/micro-led-cluster-svietiaci-retazec-600-led-3-9m-multicolor-8pr-mlcs-600-m-17738")</f>
        <v>0.0</v>
      </c>
      <c r="E731" s="7" t="n">
        <f>HYPERLINK("https://www.somogyi.sk/productimages/product_main_images/small/17738.jpg","https://www.somogyi.sk/productimages/product_main_images/small/17738.jpg")</f>
        <v>0.0</v>
      </c>
      <c r="F731" s="2" t="inlineStr">
        <is>
          <t>5999084957605</t>
        </is>
      </c>
      <c r="G731" s="4" t="inlineStr">
        <is>
          <t xml:space="preserve"> • umiestnenie: na vonkajšie / vnútorné použitie 
 • zdroj svetla: micro LED 
 • počet zdrojov svetla: 600 ks 
 • funkcie: 11 funkcií: teplá biela, farebná, blikajúce režimy • zmeniteľná svietivosť 
 • farba kábla: strieborná 
 • dĺžka: svietiaci reťazec: 9 m, napájací kábel: 3 m 
 • napájanie: 230 V~ / 50 Hz (IP44 vonkajší adaptér) / diaľkový ovládač: CR2025 batéria (je príslušenstvom)</t>
        </is>
      </c>
    </row>
    <row r="732">
      <c r="A732" s="3" t="inlineStr">
        <is>
          <t>MLC 58/M</t>
        </is>
      </c>
      <c r="B732" s="2" t="inlineStr">
        <is>
          <t>LED mini svietiaci reťazec</t>
        </is>
      </c>
      <c r="C732" s="1" t="n">
        <v>9.49</v>
      </c>
      <c r="D732" s="7" t="n">
        <f>HYPERLINK("https://www.somogyi.sk/product/led-mini-svietiaci-retazec-mlc-58-m-17334","https://www.somogyi.sk/product/led-mini-svietiaci-retazec-mlc-58-m-17334")</f>
        <v>0.0</v>
      </c>
      <c r="E732" s="7" t="n">
        <f>HYPERLINK("https://www.somogyi.sk/productimages/product_main_images/small/17334.jpg","https://www.somogyi.sk/productimages/product_main_images/small/17334.jpg")</f>
        <v>0.0</v>
      </c>
      <c r="F732" s="2" t="inlineStr">
        <is>
          <t>5999084953560</t>
        </is>
      </c>
      <c r="G732" s="4" t="inlineStr">
        <is>
          <t xml:space="preserve"> • umiestnenie: na vonkajšie / vnútorné použitie 
 • zdroj svetla: LED 
 • počet zdrojov svetla: 50 ks 
 • farba zdrojov svetla: multicolor 
 • funkcie: 8 programov 
 • farba kábla: zelená 
 • dĺžka: 4,9 m 
 • napájanie: 3 x AA batéria (nie je príslušenstvom)</t>
        </is>
      </c>
    </row>
    <row r="733">
      <c r="A733" s="3" t="inlineStr">
        <is>
          <t>ML 20/M</t>
        </is>
      </c>
      <c r="B733" s="2" t="inlineStr">
        <is>
          <t>Micro LED svietiaci reťazec, 20 farebných micro LED</t>
        </is>
      </c>
      <c r="C733" s="1" t="n">
        <v>2.39</v>
      </c>
      <c r="D733" s="7" t="n">
        <f>HYPERLINK("https://www.somogyi.sk/product/micro-led-svietiaci-retazec-20-farebnych-micro-led-ml-20-m-17745","https://www.somogyi.sk/product/micro-led-svietiaci-retazec-20-farebnych-micro-led-ml-20-m-17745")</f>
        <v>0.0</v>
      </c>
      <c r="E733" s="7" t="n">
        <f>HYPERLINK("https://www.somogyi.sk/productimages/product_main_images/small/17745.jpg","https://www.somogyi.sk/productimages/product_main_images/small/17745.jpg")</f>
        <v>0.0</v>
      </c>
      <c r="F733" s="2" t="inlineStr">
        <is>
          <t>5999084957674</t>
        </is>
      </c>
      <c r="G733" s="4" t="inlineStr">
        <is>
          <t xml:space="preserve"> • umiestnenie: na vnútorné použitie 
 • zdroj svetla: micro LED 
 • počet zdrojov svetla: 20 ks 
 • farba zdrojov svetla: farebná 
 • farba kábla: transparentný 
 • dĺžka: svietiaci reťazec: 1,9 m • napájací kábel: 20 m 
 • napájanie: 2 x AA (1,5 V) batéria (nie je príslušenstvom) 
 • ďalšie informácie: za/vypínač</t>
        </is>
      </c>
    </row>
    <row r="734">
      <c r="A734" s="3" t="inlineStr">
        <is>
          <t>ML 20/WH</t>
        </is>
      </c>
      <c r="B734" s="2" t="inlineStr">
        <is>
          <t>Micro LED svietiaci reťazec, 20 studených bielych micro LED</t>
        </is>
      </c>
      <c r="C734" s="1" t="n">
        <v>2.39</v>
      </c>
      <c r="D734" s="7" t="n">
        <f>HYPERLINK("https://www.somogyi.sk/product/micro-led-svietiaci-retazec-20-studenych-bielych-micro-led-ml-20-wh-17746","https://www.somogyi.sk/product/micro-led-svietiaci-retazec-20-studenych-bielych-micro-led-ml-20-wh-17746")</f>
        <v>0.0</v>
      </c>
      <c r="E734" s="7" t="n">
        <f>HYPERLINK("https://www.somogyi.sk/productimages/product_main_images/small/17746.jpg","https://www.somogyi.sk/productimages/product_main_images/small/17746.jpg")</f>
        <v>0.0</v>
      </c>
      <c r="F734" s="2" t="inlineStr">
        <is>
          <t>5999084957681</t>
        </is>
      </c>
      <c r="G734" s="4" t="inlineStr">
        <is>
          <t xml:space="preserve"> • umiestnenie: na vnútorné použitie 
 • zdroj svetla: micro LED 
 • počet zdrojov svetla: 20 ks 
 • farba zdrojov svetla: studená biela 
 • farba kábla: transparentný 
 • dĺžka: svietiaci reťazec: 1,9 m • napájací kábel: 20 m 
 • napájanie: 2 x AA (1,5 V) batéria (nie je príslušenstvom) 
 • ďalšie informácie: za/vypínač</t>
        </is>
      </c>
    </row>
    <row r="735">
      <c r="A735" s="3" t="inlineStr">
        <is>
          <t>KKL 500C/WW</t>
        </is>
      </c>
      <c r="B735" s="2" t="inlineStr">
        <is>
          <t>LED svetelný reťazec</t>
        </is>
      </c>
      <c r="C735" s="1" t="n">
        <v>39.99</v>
      </c>
      <c r="D735" s="7" t="n">
        <f>HYPERLINK("https://www.somogyi.sk/product/led-svetelny-retazec-kkl-500c-ww-15476","https://www.somogyi.sk/product/led-svetelny-retazec-kkl-500c-ww-15476")</f>
        <v>0.0</v>
      </c>
      <c r="E735" s="7" t="n">
        <f>HYPERLINK("https://www.somogyi.sk/productimages/product_main_images/small/15476.jpg","https://www.somogyi.sk/productimages/product_main_images/small/15476.jpg")</f>
        <v>0.0</v>
      </c>
      <c r="F735" s="2" t="inlineStr">
        <is>
          <t>5999084935108</t>
        </is>
      </c>
      <c r="G735" s="4" t="inlineStr">
        <is>
          <t xml:space="preserve"> • umiestnenie: na vonkajšie / vnútorné použitie 
 • zdroj svetla: LED 
 • počet zdrojov svetla: 500 ks 
 • farba zdrojov svetla: teplá biela 
 • farba kábla: zelená 
 • dĺžka: 35 m 
 • napájanie: 230 V~ (adaptér) 
 • ďalšie informácie: balenie: plastový kufrík</t>
        </is>
      </c>
    </row>
    <row r="736">
      <c r="A736" s="3" t="inlineStr">
        <is>
          <t>LED 108C/M</t>
        </is>
      </c>
      <c r="B736" s="2" t="inlineStr">
        <is>
          <t>LED svetelný reťazec</t>
        </is>
      </c>
      <c r="C736" s="1" t="n">
        <v>21.99</v>
      </c>
      <c r="D736" s="7" t="n">
        <f>HYPERLINK("https://www.somogyi.sk/product/led-svetelny-retazec-led-108c-m-15478","https://www.somogyi.sk/product/led-svetelny-retazec-led-108c-m-15478")</f>
        <v>0.0</v>
      </c>
      <c r="E736" s="7" t="n">
        <f>HYPERLINK("https://www.somogyi.sk/productimages/product_main_images/small/15478.jpg","https://www.somogyi.sk/productimages/product_main_images/small/15478.jpg")</f>
        <v>0.0</v>
      </c>
      <c r="F736" s="2" t="inlineStr">
        <is>
          <t>5999084935122</t>
        </is>
      </c>
      <c r="G736" s="4" t="inlineStr">
        <is>
          <t xml:space="preserve"> • pre vonkajšie použitie 
 • 100 ks LED 
 • 8 programov, s pamäťou 
 • napájanie: 230 V~/24 V adaptér 
 • dĺžka reťazca: 7 m 
 • dĺžka kábla: 5 m</t>
        </is>
      </c>
    </row>
    <row r="737">
      <c r="A737" s="3" t="inlineStr">
        <is>
          <t>KKL 500F/WW</t>
        </is>
      </c>
      <c r="B737" s="2" t="inlineStr">
        <is>
          <t>LED žiariaci svetelný reťazec</t>
        </is>
      </c>
      <c r="C737" s="1" t="n">
        <v>62.99</v>
      </c>
      <c r="D737" s="7" t="n">
        <f>HYPERLINK("https://www.somogyi.sk/product/led-ziariaci-svetelny-retazec-kkl-500f-ww-16011","https://www.somogyi.sk/product/led-ziariaci-svetelny-retazec-kkl-500f-ww-16011")</f>
        <v>0.0</v>
      </c>
      <c r="E737" s="7" t="n">
        <f>HYPERLINK("https://www.somogyi.sk/productimages/product_main_images/small/16011.jpg","https://www.somogyi.sk/productimages/product_main_images/small/16011.jpg")</f>
        <v>0.0</v>
      </c>
      <c r="F737" s="2" t="inlineStr">
        <is>
          <t>5999084940430</t>
        </is>
      </c>
      <c r="G737" s="4" t="inlineStr">
        <is>
          <t xml:space="preserve"> • umiestnenie: na vonkajšie / vnútorné použitie 
 • zdroj svetla: LED 
 • počet zdrojov svetla: 500 ks 
 • farba zdrojov svetla: teplá biela 
 • farba kábla: biela 
 • rozmery: 50 m 
 • napájanie: 230 V~ (adaptér) 
 • ďalšie informácie: každá desiata LED bliká teplou bielou farbou</t>
        </is>
      </c>
    </row>
    <row r="738">
      <c r="A738" s="3" t="inlineStr">
        <is>
          <t>LED 108C/WW</t>
        </is>
      </c>
      <c r="B738" s="2" t="inlineStr">
        <is>
          <t>LED svetelný reťazec</t>
        </is>
      </c>
      <c r="C738" s="1" t="n">
        <v>21.99</v>
      </c>
      <c r="D738" s="7" t="n">
        <f>HYPERLINK("https://www.somogyi.sk/product/led-svetelny-retazec-led-108c-ww-15480","https://www.somogyi.sk/product/led-svetelny-retazec-led-108c-ww-15480")</f>
        <v>0.0</v>
      </c>
      <c r="E738" s="7" t="n">
        <f>HYPERLINK("https://www.somogyi.sk/productimages/product_main_images/small/15480.jpg","https://www.somogyi.sk/productimages/product_main_images/small/15480.jpg")</f>
        <v>0.0</v>
      </c>
      <c r="F738" s="2" t="inlineStr">
        <is>
          <t>5999084935146</t>
        </is>
      </c>
      <c r="G738" s="4" t="inlineStr">
        <is>
          <t xml:space="preserve"> • umiestnenie: na vonkajšie / vnútorné použitie 
 • zdroj svetla: LED 
 • počet zdrojov svetla: 100 ks 
 • farba zdrojov svetla: teplá biela 
 • funkcie: 8 programov 
 • farba kábla: zelená 
 • dĺžka: 7 m 
 • napájanie: 230 V~ (adaptér) 
 • ďalšie informácie: balenie: plastový kufrík</t>
        </is>
      </c>
    </row>
    <row r="739">
      <c r="A739" s="3" t="inlineStr">
        <is>
          <t>LED 208C/M</t>
        </is>
      </c>
      <c r="B739" s="2" t="inlineStr">
        <is>
          <t>LED svetelný reťazec</t>
        </is>
      </c>
      <c r="C739" s="1" t="n">
        <v>28.99</v>
      </c>
      <c r="D739" s="7" t="n">
        <f>HYPERLINK("https://www.somogyi.sk/product/led-svetelny-retazec-led-208c-m-15481","https://www.somogyi.sk/product/led-svetelny-retazec-led-208c-m-15481")</f>
        <v>0.0</v>
      </c>
      <c r="E739" s="7" t="n">
        <f>HYPERLINK("https://www.somogyi.sk/productimages/product_main_images/small/15481.jpg","https://www.somogyi.sk/productimages/product_main_images/small/15481.jpg")</f>
        <v>0.0</v>
      </c>
      <c r="F739" s="2" t="inlineStr">
        <is>
          <t>5999084935153</t>
        </is>
      </c>
      <c r="G739" s="4" t="inlineStr">
        <is>
          <t xml:space="preserve"> • umiestnenie: na vonkajšie / vnútorné použitie 
 • zdroj svetla: LED 
 • počet zdrojov svetla: 200 ks 
 • farba zdrojov svetla: farebná 
 • funkcie: 8 programov 
 • farba kábla: zelená 
 • dĺžka: 14 m 
 • napájanie: 230 V~ (adaptér) 
 • ďalšie informácie: balenie: plastový kufrík</t>
        </is>
      </c>
    </row>
    <row r="740">
      <c r="A740" s="3" t="inlineStr">
        <is>
          <t>LED 208C/WH</t>
        </is>
      </c>
      <c r="B740" s="2" t="inlineStr">
        <is>
          <t>LED svetelný reťazec</t>
        </is>
      </c>
      <c r="C740" s="1" t="n">
        <v>28.99</v>
      </c>
      <c r="D740" s="7" t="n">
        <f>HYPERLINK("https://www.somogyi.sk/product/led-svetelny-retazec-led-208c-wh-15482","https://www.somogyi.sk/product/led-svetelny-retazec-led-208c-wh-15482")</f>
        <v>0.0</v>
      </c>
      <c r="E740" s="7" t="n">
        <f>HYPERLINK("https://www.somogyi.sk/productimages/product_main_images/small/15482.jpg","https://www.somogyi.sk/productimages/product_main_images/small/15482.jpg")</f>
        <v>0.0</v>
      </c>
      <c r="F740" s="2" t="inlineStr">
        <is>
          <t>5999084935160</t>
        </is>
      </c>
      <c r="G740" s="4" t="inlineStr">
        <is>
          <t xml:space="preserve"> • umiestnenie: na vonkajšie / vnútorné použitie 
 • zdroj svetla: LED 
 • počet zdrojov svetla: 200 ks 
 • farba zdrojov svetla: studená biela 
 • funkcie: 8 programov 
 • farba kábla: zelená 
 • dĺžka: 14 m 
 • napájanie: 230 V~ (adaptér) 
 • ďalšie informácie: balenie: plastový kufrík</t>
        </is>
      </c>
    </row>
    <row r="741">
      <c r="A741" s="3" t="inlineStr">
        <is>
          <t>LED 208C/WW</t>
        </is>
      </c>
      <c r="B741" s="2" t="inlineStr">
        <is>
          <t>LED svetelný reťazec</t>
        </is>
      </c>
      <c r="C741" s="1" t="n">
        <v>28.99</v>
      </c>
      <c r="D741" s="7" t="n">
        <f>HYPERLINK("https://www.somogyi.sk/product/led-svetelny-retazec-led-208c-ww-15483","https://www.somogyi.sk/product/led-svetelny-retazec-led-208c-ww-15483")</f>
        <v>0.0</v>
      </c>
      <c r="E741" s="7" t="n">
        <f>HYPERLINK("https://www.somogyi.sk/productimages/product_main_images/small/15483.jpg","https://www.somogyi.sk/productimages/product_main_images/small/15483.jpg")</f>
        <v>0.0</v>
      </c>
      <c r="F741" s="2" t="inlineStr">
        <is>
          <t>5999084935177</t>
        </is>
      </c>
      <c r="G741" s="4" t="inlineStr">
        <is>
          <t xml:space="preserve"> • umiestnenie: na vonkajšie / vnútorné použitie 
 • zdroj svetla: LED 
 • počet zdrojov svetla: 200 ks 
 • farba zdrojov svetla: teplá biela 
 • funkcie: 8 programov 
 • farba kábla: zelená 
 • dĺžka: 14 m 
 • napájanie: 230 V~ (adaptér) 
 • ďalšie informácie: balenie: plastový kufrík</t>
        </is>
      </c>
    </row>
    <row r="742">
      <c r="A742" s="3" t="inlineStr">
        <is>
          <t>KKL 1000C/WH</t>
        </is>
      </c>
      <c r="B742" s="2" t="inlineStr">
        <is>
          <t>LED svietiaci reťazec, 1000 LED, studená biela, stále svetlo, na vonkajšie použitie</t>
        </is>
      </c>
      <c r="C742" s="1" t="n">
        <v>74.99</v>
      </c>
      <c r="D742" s="7" t="n">
        <f>HYPERLINK("https://www.somogyi.sk/product/led-svietiaci-retazec-1000-led-studena-biela-stale-svetlo-na-vonkajsie-pouzitie-kkl-1000c-wh-15580","https://www.somogyi.sk/product/led-svietiaci-retazec-1000-led-studena-biela-stale-svetlo-na-vonkajsie-pouzitie-kkl-1000c-wh-15580")</f>
        <v>0.0</v>
      </c>
      <c r="E742" s="7" t="n">
        <f>HYPERLINK("https://www.somogyi.sk/productimages/product_main_images/small/15580.jpg","https://www.somogyi.sk/productimages/product_main_images/small/15580.jpg")</f>
        <v>0.0</v>
      </c>
      <c r="F742" s="2" t="inlineStr">
        <is>
          <t>5999084936143</t>
        </is>
      </c>
      <c r="G742" s="4" t="inlineStr">
        <is>
          <t xml:space="preserve"> • umiestnenie: na vonkajšie / vnútorné použitie 
 • zdroj svetla: LED 
 • počet zdrojov svetla: 1000 ks 
 • farba zdrojov svetla: studená biela 
 • farba kábla: zelená 
 • dĺžka: 70 m 
 • napájanie: 230 V~ (adaptér) 
 • ďalšie informácie: balenie: plastový kufrík</t>
        </is>
      </c>
    </row>
    <row r="743">
      <c r="A743" s="3" t="inlineStr">
        <is>
          <t>KKL 1000C/WW</t>
        </is>
      </c>
      <c r="B743" s="2" t="inlineStr">
        <is>
          <t>LED svietiaci reťazec, 1000 LED, teplá biela, stále svetlo, na vonkajšie použitie</t>
        </is>
      </c>
      <c r="C743" s="1" t="n">
        <v>74.99</v>
      </c>
      <c r="D743" s="7" t="n">
        <f>HYPERLINK("https://www.somogyi.sk/product/led-svietiaci-retazec-1000-led-tepla-biela-stale-svetlo-na-vonkajsie-pouzitie-kkl-1000c-ww-15581","https://www.somogyi.sk/product/led-svietiaci-retazec-1000-led-tepla-biela-stale-svetlo-na-vonkajsie-pouzitie-kkl-1000c-ww-15581")</f>
        <v>0.0</v>
      </c>
      <c r="E743" s="7" t="n">
        <f>HYPERLINK("https://www.somogyi.sk/productimages/product_main_images/small/15581.jpg","https://www.somogyi.sk/productimages/product_main_images/small/15581.jpg")</f>
        <v>0.0</v>
      </c>
      <c r="F743" s="2" t="inlineStr">
        <is>
          <t>5999084936150</t>
        </is>
      </c>
      <c r="G743" s="4" t="inlineStr">
        <is>
          <t xml:space="preserve"> • umiestnenie: na vonkajšie / vnútorné použitie 
 • zdroj svetla: LED 
 • počet zdrojov svetla: 1000 ks 
 • farba zdrojov svetla: teplá biela 
 • farba kábla: zelená 
 • dĺžka: 70 m 
 • napájanie: 230 V~ (adaptér) 
 • ďalšie informácie: balenie: plastový kufrík</t>
        </is>
      </c>
    </row>
    <row r="744">
      <c r="A744" s="3" t="inlineStr">
        <is>
          <t>KKL 500C/WH</t>
        </is>
      </c>
      <c r="B744" s="2" t="inlineStr">
        <is>
          <t>LED svietiaci reťazec</t>
        </is>
      </c>
      <c r="C744" s="1" t="n">
        <v>39.99</v>
      </c>
      <c r="D744" s="7" t="n">
        <f>HYPERLINK("https://www.somogyi.sk/product/led-svietiaci-retazec-kkl-500c-wh-15585","https://www.somogyi.sk/product/led-svietiaci-retazec-kkl-500c-wh-15585")</f>
        <v>0.0</v>
      </c>
      <c r="E744" s="7" t="n">
        <f>HYPERLINK("https://www.somogyi.sk/productimages/product_main_images/small/15585.jpg","https://www.somogyi.sk/productimages/product_main_images/small/15585.jpg")</f>
        <v>0.0</v>
      </c>
      <c r="F744" s="2" t="inlineStr">
        <is>
          <t>5999084936198</t>
        </is>
      </c>
      <c r="G744" s="4" t="inlineStr">
        <is>
          <t xml:space="preserve"> • umiestnenie: na vonkajšie / vnútorné použitie 
 • zdroj svetla: LED 
 • počet zdrojov svetla: 500 ks 
 • farba zdrojov svetla: studená biela 
 • farba kábla: zelená 
 • dĺžka: 35 m 
 • napájanie: 230 V~ (adaptér) 
 • ďalšie informácie: balenie: plastový kufrík</t>
        </is>
      </c>
    </row>
    <row r="745">
      <c r="A745" s="3" t="inlineStr">
        <is>
          <t>LED 105/WW/M</t>
        </is>
      </c>
      <c r="B745" s="2" t="inlineStr">
        <is>
          <t>LED svietiaci reťazec DUAL COLOR</t>
        </is>
      </c>
      <c r="C745" s="1" t="n">
        <v>22.99</v>
      </c>
      <c r="D745" s="7" t="n">
        <f>HYPERLINK("https://www.somogyi.sk/product/led-svietiaci-retazec-dual-color-led-105-ww-m-15610","https://www.somogyi.sk/product/led-svietiaci-retazec-dual-color-led-105-ww-m-15610")</f>
        <v>0.0</v>
      </c>
      <c r="E745" s="7" t="n">
        <f>HYPERLINK("https://www.somogyi.sk/productimages/product_main_images/small/15610.jpg","https://www.somogyi.sk/productimages/product_main_images/small/15610.jpg")</f>
        <v>0.0</v>
      </c>
      <c r="F745" s="2" t="inlineStr">
        <is>
          <t>5999084936440</t>
        </is>
      </c>
      <c r="G745" s="4" t="inlineStr">
        <is>
          <t xml:space="preserve"> • umiestnenie: na vonkajšie / vnútorné použitie 
 • zdroj svetla: LED 
 • počet zdrojov svetla: 100 ks 
 • farba zdrojov svetla: teplá biela / farebná 
 • funkcie: 5 programov: farebné stále svetlo, farebné blikajúce svetlo, teplé biele stále svetlo, teplé biele blikajúce svetlo, striedavo blikajúce teplé biele a farebné svetlo 
 • farba kábla: čierna 
 • dĺžka: 7 m 
 • napájanie: 230 V~ (adaptér) 
 • ďalšie informácie: v plastovom kufríku</t>
        </is>
      </c>
    </row>
    <row r="746">
      <c r="A746" s="3" t="inlineStr">
        <is>
          <t>LED 205/WW/M</t>
        </is>
      </c>
      <c r="B746" s="2" t="inlineStr">
        <is>
          <t>LED svietiaci reťazec DUAL COLOR</t>
        </is>
      </c>
      <c r="C746" s="1" t="n">
        <v>29.99</v>
      </c>
      <c r="D746" s="7" t="n">
        <f>HYPERLINK("https://www.somogyi.sk/product/led-svietiaci-retazec-dual-color-led-205-ww-m-15611","https://www.somogyi.sk/product/led-svietiaci-retazec-dual-color-led-205-ww-m-15611")</f>
        <v>0.0</v>
      </c>
      <c r="E746" s="7" t="n">
        <f>HYPERLINK("https://www.somogyi.sk/productimages/product_main_images/small/15611.jpg","https://www.somogyi.sk/productimages/product_main_images/small/15611.jpg")</f>
        <v>0.0</v>
      </c>
      <c r="F746" s="2" t="inlineStr">
        <is>
          <t>5999084936457</t>
        </is>
      </c>
      <c r="G746" s="4" t="inlineStr">
        <is>
          <t xml:space="preserve"> • umiestnenie: na vonkajšie / vnútorné použitie 
 • zdroj svetla: LED 
 • počet zdrojov svetla: 200 ks 
 • farba zdrojov svetla: teplá biela / farebná 
 • funkcie: 5 programov: farebné stále svetlo, farebné blikajúce svetlo, teplé biele stále svetlo, teplé biele blikajúce svetlo, striedavo blikajúce teplé biele a farebné svetlo 
 • farba kábla: zelená 
 • dĺžka: 14 m 
 • napájanie: 230 V~ (adaptér) 
 • ďalšie informácie: v plastovom kufríku</t>
        </is>
      </c>
    </row>
    <row r="747">
      <c r="A747" s="3" t="inlineStr">
        <is>
          <t>KKL 500C/M</t>
        </is>
      </c>
      <c r="B747" s="2" t="inlineStr">
        <is>
          <t>LED svietiaci reťazec</t>
        </is>
      </c>
      <c r="C747" s="1" t="n">
        <v>39.99</v>
      </c>
      <c r="D747" s="7" t="n">
        <f>HYPERLINK("https://www.somogyi.sk/product/led-svietiaci-retazec-kkl-500c-m-15671","https://www.somogyi.sk/product/led-svietiaci-retazec-kkl-500c-m-15671")</f>
        <v>0.0</v>
      </c>
      <c r="E747" s="7" t="n">
        <f>HYPERLINK("https://www.somogyi.sk/productimages/product_main_images/small/15671.jpg","https://www.somogyi.sk/productimages/product_main_images/small/15671.jpg")</f>
        <v>0.0</v>
      </c>
      <c r="F747" s="2" t="inlineStr">
        <is>
          <t>5999084937058</t>
        </is>
      </c>
      <c r="G747" s="4" t="inlineStr">
        <is>
          <t xml:space="preserve"> • umiestnenie: na vonkajšie / vnútorné použitie 
 • zdroj svetla: LED 
 • počet zdrojov svetla: 500 ks 
 • farba zdrojov svetla: farebná 
 • farba kábla: zelená 
 • dĺžka: 35 m 
 • napájanie: 230 V~ (adaptér) 
 • ďalšie informácie: balenie: plastový kufrík</t>
        </is>
      </c>
    </row>
    <row r="748">
      <c r="A748" s="3" t="inlineStr">
        <is>
          <t>KII 50B/M</t>
        </is>
      </c>
      <c r="B748" s="2" t="inlineStr">
        <is>
          <t>LED svietiaci reťazec guľa</t>
        </is>
      </c>
      <c r="C748" s="1" t="n">
        <v>14.49</v>
      </c>
      <c r="D748" s="7" t="n">
        <f>HYPERLINK("https://www.somogyi.sk/product/led-svietiaci-retazec-gula-kii-50b-m-16142","https://www.somogyi.sk/product/led-svietiaci-retazec-gula-kii-50b-m-16142")</f>
        <v>0.0</v>
      </c>
      <c r="E748" s="7" t="n">
        <f>HYPERLINK("https://www.somogyi.sk/productimages/product_main_images/small/16142.jpg","https://www.somogyi.sk/productimages/product_main_images/small/16142.jpg")</f>
        <v>0.0</v>
      </c>
      <c r="F748" s="2" t="inlineStr">
        <is>
          <t>5999084941741</t>
        </is>
      </c>
      <c r="G748" s="4" t="inlineStr">
        <is>
          <t xml:space="preserve"> • umiestnenie: na vnútorné použitie 
 • zdroj svetla: LED 
 • počet zdrojov svetla: 50 ks 
 • farba zdrojov svetla: farebná 
 • farba kábla: zelená 
 • dĺžka: 4 m 
 • napájanie: 230 V~ (adaptér)</t>
        </is>
      </c>
    </row>
    <row r="749">
      <c r="A749" s="3" t="inlineStr">
        <is>
          <t>KII 50B/WW</t>
        </is>
      </c>
      <c r="B749" s="2" t="inlineStr">
        <is>
          <t>LED svietiaci reťazec guľa</t>
        </is>
      </c>
      <c r="C749" s="1" t="n">
        <v>14.49</v>
      </c>
      <c r="D749" s="7" t="n">
        <f>HYPERLINK("https://www.somogyi.sk/product/led-svietiaci-retazec-gula-kii-50b-ww-16141","https://www.somogyi.sk/product/led-svietiaci-retazec-gula-kii-50b-ww-16141")</f>
        <v>0.0</v>
      </c>
      <c r="E749" s="7" t="n">
        <f>HYPERLINK("https://www.somogyi.sk/productimages/product_main_images/small/16141.jpg","https://www.somogyi.sk/productimages/product_main_images/small/16141.jpg")</f>
        <v>0.0</v>
      </c>
      <c r="F749" s="2" t="inlineStr">
        <is>
          <t>5999084941734</t>
        </is>
      </c>
      <c r="G749" s="4" t="inlineStr">
        <is>
          <t xml:space="preserve"> • umiestnenie: na vnútorné použitie 
 • zdroj svetla: LED 
 • počet zdrojov svetla: 50 ks 
 • farba zdrojov svetla: teplá biela 
 • farba kábla: zelená 
 • dĺžka: 4 m 
 • napájanie: 230 V~ (adaptér)</t>
        </is>
      </c>
    </row>
    <row r="750">
      <c r="A750" s="3" t="inlineStr">
        <is>
          <t>KII 200/M</t>
        </is>
      </c>
      <c r="B750" s="2" t="inlineStr">
        <is>
          <t>LED svietiaci reťazec</t>
        </is>
      </c>
      <c r="C750" s="1" t="n">
        <v>17.49</v>
      </c>
      <c r="D750" s="7" t="n">
        <f>HYPERLINK("https://www.somogyi.sk/product/led-svietiaci-retazec-kii-200-m-16140","https://www.somogyi.sk/product/led-svietiaci-retazec-kii-200-m-16140")</f>
        <v>0.0</v>
      </c>
      <c r="E750" s="7" t="n">
        <f>HYPERLINK("https://www.somogyi.sk/productimages/product_main_images/small/16140.jpg","https://www.somogyi.sk/productimages/product_main_images/small/16140.jpg")</f>
        <v>0.0</v>
      </c>
      <c r="F750" s="2" t="inlineStr">
        <is>
          <t>5999084941727</t>
        </is>
      </c>
      <c r="G750" s="4" t="inlineStr">
        <is>
          <t xml:space="preserve"> • umiestnenie: na vnútorné použitie 
 • zdroj svetla: LED 
 • počet zdrojov svetla: 200 ks 
 • farba zdrojov svetla: farený 
 • farba kábla: zelený 
 • dĺžka: 16 m 
 • napájanie: 230 V~ (adaptér)</t>
        </is>
      </c>
    </row>
    <row r="751">
      <c r="A751" s="3" t="inlineStr">
        <is>
          <t>KII 200/WW</t>
        </is>
      </c>
      <c r="B751" s="2" t="inlineStr">
        <is>
          <t>LED svietiaci reťazec</t>
        </is>
      </c>
      <c r="C751" s="1" t="n">
        <v>17.49</v>
      </c>
      <c r="D751" s="7" t="n">
        <f>HYPERLINK("https://www.somogyi.sk/product/led-svietiaci-retazec-kii-200-ww-16139","https://www.somogyi.sk/product/led-svietiaci-retazec-kii-200-ww-16139")</f>
        <v>0.0</v>
      </c>
      <c r="E751" s="7" t="n">
        <f>HYPERLINK("https://www.somogyi.sk/productimages/product_main_images/small/16139.jpg","https://www.somogyi.sk/productimages/product_main_images/small/16139.jpg")</f>
        <v>0.0</v>
      </c>
      <c r="F751" s="2" t="inlineStr">
        <is>
          <t>5999084941710</t>
        </is>
      </c>
      <c r="G751" s="4" t="inlineStr">
        <is>
          <t xml:space="preserve"> • umiestnenie: na vnútorné použitie 
 • zdroj svetla: LED 
 • počet zdrojov svetla: 200 ks 
 • farba zdrojov svetla: farebná 
 • farba kábla: zelená 
 • rozmery: 1,6 m 
 • dĺžka: 1,6 m 
 • napájanie: 230 V~ (adaptér)</t>
        </is>
      </c>
    </row>
    <row r="752">
      <c r="A752" s="3" t="inlineStr">
        <is>
          <t>LED 102R/WW/M</t>
        </is>
      </c>
      <c r="B752" s="2" t="inlineStr">
        <is>
          <t>LED DUAL COLOR svietiaci reťazec</t>
        </is>
      </c>
      <c r="C752" s="1" t="n">
        <v>28.99</v>
      </c>
      <c r="D752" s="7" t="n">
        <f>HYPERLINK("https://www.somogyi.sk/product/led-dual-color-svietiaci-retazec-led-102r-ww-m-16002","https://www.somogyi.sk/product/led-dual-color-svietiaci-retazec-led-102r-ww-m-16002")</f>
        <v>0.0</v>
      </c>
      <c r="E752" s="7" t="n">
        <f>HYPERLINK("https://www.somogyi.sk/productimages/product_main_images/small/16002.jpg","https://www.somogyi.sk/productimages/product_main_images/small/16002.jpg")</f>
        <v>0.0</v>
      </c>
      <c r="F752" s="2" t="inlineStr">
        <is>
          <t>5999084940348</t>
        </is>
      </c>
      <c r="G752" s="4" t="inlineStr">
        <is>
          <t xml:space="preserve"> • umiestnenie: na vonkajšie / vnútorné použitie 
 • zdroj svetla: LED 
 • počet zdrojov svetla: 100 ks 
 • farba zdrojov svetla: teplá biela / farebná 
 • funkcie: teplé biele / farebné stále svetlo 
 • farba kábla: čierna 
 • dĺžka: 7 m 
 • napájanie: 230 V~ (s adaptérom) 
 • ďalšie informácie: časovač, 6 h svieti, 18 h pauza, s diaľ. ovládačom</t>
        </is>
      </c>
    </row>
    <row r="753">
      <c r="A753" s="3" t="inlineStr">
        <is>
          <t>LED 202R/WW/M</t>
        </is>
      </c>
      <c r="B753" s="2" t="inlineStr">
        <is>
          <t>LED DUAL COLOR svietiaci reťazec</t>
        </is>
      </c>
      <c r="C753" s="1" t="n">
        <v>36.99</v>
      </c>
      <c r="D753" s="7" t="n">
        <f>HYPERLINK("https://www.somogyi.sk/product/led-dual-color-svietiaci-retazec-led-202r-ww-m-16003","https://www.somogyi.sk/product/led-dual-color-svietiaci-retazec-led-202r-ww-m-16003")</f>
        <v>0.0</v>
      </c>
      <c r="E753" s="7" t="n">
        <f>HYPERLINK("https://www.somogyi.sk/productimages/product_main_images/small/16003.jpg","https://www.somogyi.sk/productimages/product_main_images/small/16003.jpg")</f>
        <v>0.0</v>
      </c>
      <c r="F753" s="2" t="inlineStr">
        <is>
          <t>5999084940355</t>
        </is>
      </c>
      <c r="G753" s="4" t="inlineStr">
        <is>
          <t xml:space="preserve"> • umiestnenie: na vonkajšie / vnútorné použitie 
 • zdroj svetla: LED 
 • počet zdrojov svetla: 200 ks 
 • farba zdrojov svetla: teplá biela / farebná 
 • funkcie: teplé biele / farebné stále svetlo 
 • farba kábla: čierna 
 • dĺžka: 14 m 
 • napájanie: 230 V~ (s adaptérom) 
 • ďalšie informácie: časovač, 6 h svieti, 18 h pauza, s diaľ. ovládačom</t>
        </is>
      </c>
    </row>
    <row r="754">
      <c r="A754" s="3" t="inlineStr">
        <is>
          <t>KKL 200F/WH</t>
        </is>
      </c>
      <c r="B754" s="2" t="inlineStr">
        <is>
          <t>LED žiariaci svetelný reťazec</t>
        </is>
      </c>
      <c r="C754" s="1" t="n">
        <v>28.99</v>
      </c>
      <c r="D754" s="7" t="n">
        <f>HYPERLINK("https://www.somogyi.sk/product/led-ziariaci-svetelny-retazec-kkl-200f-wh-16005","https://www.somogyi.sk/product/led-ziariaci-svetelny-retazec-kkl-200f-wh-16005")</f>
        <v>0.0</v>
      </c>
      <c r="E754" s="7" t="n">
        <f>HYPERLINK("https://www.somogyi.sk/productimages/product_main_images/small/16005.jpg","https://www.somogyi.sk/productimages/product_main_images/small/16005.jpg")</f>
        <v>0.0</v>
      </c>
      <c r="F754" s="2" t="inlineStr">
        <is>
          <t>5999084940379</t>
        </is>
      </c>
      <c r="G754" s="4" t="inlineStr">
        <is>
          <t xml:space="preserve"> • umiestnenie: na vonkajšie / vnútorné použitie 
 • zdroj svetla: LED 
 • počet zdrojov svetla: 200 ks 
 • farba zdrojov svetla: teplá biela 
 • farba kábla: zelená 
 • rozmery: 20 m 
 • napájanie: 230 V~ (adaptér) 
 • ďalšie informácie: každá desiata LED bliká studenou bielou farbou</t>
        </is>
      </c>
    </row>
    <row r="755">
      <c r="A755" s="3" t="inlineStr">
        <is>
          <t>KKL 200F/WW</t>
        </is>
      </c>
      <c r="B755" s="2" t="inlineStr">
        <is>
          <t>LED žiariaci svetelný reťazec</t>
        </is>
      </c>
      <c r="C755" s="1" t="n">
        <v>28.99</v>
      </c>
      <c r="D755" s="7" t="n">
        <f>HYPERLINK("https://www.somogyi.sk/product/led-ziariaci-svetelny-retazec-kkl-200f-ww-16007","https://www.somogyi.sk/product/led-ziariaci-svetelny-retazec-kkl-200f-ww-16007")</f>
        <v>0.0</v>
      </c>
      <c r="E755" s="7" t="n">
        <f>HYPERLINK("https://www.somogyi.sk/productimages/product_main_images/small/16007.jpg","https://www.somogyi.sk/productimages/product_main_images/small/16007.jpg")</f>
        <v>0.0</v>
      </c>
      <c r="F755" s="2" t="inlineStr">
        <is>
          <t>5999084940393</t>
        </is>
      </c>
      <c r="G755" s="4" t="inlineStr">
        <is>
          <t xml:space="preserve"> • umiestnenie: na vonkajšie / vnútorné použitie 
 • zdroj svetla: LED 
 • počet zdrojov svetla: 200 ks 
 • farba zdrojov svetla: teplá biela 
 • farba kábla: zelená 
 • rozmery: 20 m 
 • napájanie: 230 V~ (s adaptérom) 
 • ďalšie informácie: každá desiata LED bliká teplou bielou farbou</t>
        </is>
      </c>
    </row>
    <row r="756">
      <c r="A756" s="3" t="inlineStr">
        <is>
          <t>KKL 500F/WH</t>
        </is>
      </c>
      <c r="B756" s="2" t="inlineStr">
        <is>
          <t>LED žiariaci svetelný reťazec</t>
        </is>
      </c>
      <c r="C756" s="1" t="n">
        <v>62.99</v>
      </c>
      <c r="D756" s="7" t="n">
        <f>HYPERLINK("https://www.somogyi.sk/product/led-ziariaci-svetelny-retazec-kkl-500f-wh-16009","https://www.somogyi.sk/product/led-ziariaci-svetelny-retazec-kkl-500f-wh-16009")</f>
        <v>0.0</v>
      </c>
      <c r="E756" s="7" t="n">
        <f>HYPERLINK("https://www.somogyi.sk/productimages/product_main_images/small/16009.jpg","https://www.somogyi.sk/productimages/product_main_images/small/16009.jpg")</f>
        <v>0.0</v>
      </c>
      <c r="F756" s="2" t="inlineStr">
        <is>
          <t>5999084940416</t>
        </is>
      </c>
      <c r="G756" s="4" t="inlineStr">
        <is>
          <t xml:space="preserve"> • umiestnenie: na vonkajšie / vnútorné použitie 
 • zdroj svetla: LED 
 • počet zdrojov svetla: 500 ks 
 • farba zdrojov svetla: teplá biela 
 • farba kábla: biela 
 • rozmery: 50 m 
 • napájanie: 230 V~ (adaptér) 
 • ďalšie informácie: každá desiata LED bliká studenou bielou farbou</t>
        </is>
      </c>
    </row>
    <row r="757">
      <c r="A757" s="6" t="inlineStr">
        <is>
          <t xml:space="preserve">   Vianočné dekoračné osvetlenie / Svietiaci reťazec s dekoráciou</t>
        </is>
      </c>
      <c r="B757" s="6" t="inlineStr">
        <is>
          <t/>
        </is>
      </c>
      <c r="C757" s="6" t="inlineStr">
        <is>
          <t/>
        </is>
      </c>
      <c r="D757" s="6" t="inlineStr">
        <is>
          <t/>
        </is>
      </c>
      <c r="E757" s="6" t="inlineStr">
        <is>
          <t/>
        </is>
      </c>
      <c r="F757" s="6" t="inlineStr">
        <is>
          <t/>
        </is>
      </c>
      <c r="G757" s="6" t="inlineStr">
        <is>
          <t/>
        </is>
      </c>
    </row>
    <row r="758">
      <c r="A758" s="3" t="inlineStr">
        <is>
          <t>KJL 360</t>
        </is>
      </c>
      <c r="B758" s="2" t="inlineStr">
        <is>
          <t>Svietiaci reťazec cencúľ</t>
        </is>
      </c>
      <c r="C758" s="1" t="n">
        <v>89.99</v>
      </c>
      <c r="D758" s="7" t="n">
        <f>HYPERLINK("https://www.somogyi.sk/product/svietiaci-retazec-cencul-kjl-360-17860","https://www.somogyi.sk/product/svietiaci-retazec-cencul-kjl-360-17860")</f>
        <v>0.0</v>
      </c>
      <c r="E758" s="7" t="n">
        <f>HYPERLINK("https://www.somogyi.sk/productimages/product_main_images/small/17860.jpg","https://www.somogyi.sk/productimages/product_main_images/small/17860.jpg")</f>
        <v>0.0</v>
      </c>
      <c r="F758" s="2" t="inlineStr">
        <is>
          <t>5999084958824</t>
        </is>
      </c>
      <c r="G758" s="4" t="inlineStr">
        <is>
          <t xml:space="preserve"> • umiestnenie: na vonkajšie / vnútorné použitie 
 • zdroj svetla: LED 
 • počet zdrojov svetla: 360 ks 
 • farba zdrojov svetla: studená biela 
 •  
 • napájanie: IP44 sieťový adaptér je príslušenstvom 
 • ďalšie informácie: 15 cencúl, 24 LED na jednom cencúli</t>
        </is>
      </c>
    </row>
    <row r="759">
      <c r="A759" s="3" t="inlineStr">
        <is>
          <t>ML 15 GLOBE</t>
        </is>
      </c>
      <c r="B759" s="2" t="inlineStr">
        <is>
          <t>Svietiaci reťazec, žiarovky</t>
        </is>
      </c>
      <c r="C759" s="1" t="n">
        <v>24.99</v>
      </c>
      <c r="D759" s="7" t="n">
        <f>HYPERLINK("https://www.somogyi.sk/product/svietiaci-retazec-ziarovky-ml-15-globe-16987","https://www.somogyi.sk/product/svietiaci-retazec-ziarovky-ml-15-globe-16987")</f>
        <v>0.0</v>
      </c>
      <c r="E759" s="7" t="n">
        <f>HYPERLINK("https://www.somogyi.sk/productimages/product_main_images/small/16987.jpg","https://www.somogyi.sk/productimages/product_main_images/small/16987.jpg")</f>
        <v>0.0</v>
      </c>
      <c r="F759" s="2" t="inlineStr">
        <is>
          <t>5999084950194</t>
        </is>
      </c>
      <c r="G759" s="4" t="inlineStr">
        <is>
          <t xml:space="preserve"> • umiestnenie: na vonkajšie / vnútorné použitie 
 • zdroj svetla: micro LED 
 • počet zdrojov svetla: 75 ks (15 ks žiaroviek, 5 LED/žiarovka) 
 • farba zdrojov svetla: teplá biela 
 • farba kábla: strieborná 
 • dĺžka: 3,5   3 m 
 • napájanie: sieťový adaptér IP44 na vonkajšie použitie</t>
        </is>
      </c>
    </row>
    <row r="760">
      <c r="A760" s="3" t="inlineStr">
        <is>
          <t>KJL 240</t>
        </is>
      </c>
      <c r="B760" s="2" t="inlineStr">
        <is>
          <t>Svietiaci reťazec cencúľ, 240 studených bielych LED</t>
        </is>
      </c>
      <c r="C760" s="1" t="n">
        <v>73.99</v>
      </c>
      <c r="D760" s="7" t="n">
        <f>HYPERLINK("https://www.somogyi.sk/product/svietiaci-retazec-cencul-240-studenych-bielych-led-kjl-240-17861","https://www.somogyi.sk/product/svietiaci-retazec-cencul-240-studenych-bielych-led-kjl-240-17861")</f>
        <v>0.0</v>
      </c>
      <c r="E760" s="7" t="n">
        <f>HYPERLINK("https://www.somogyi.sk/productimages/product_main_images/small/17861.jpg","https://www.somogyi.sk/productimages/product_main_images/small/17861.jpg")</f>
        <v>0.0</v>
      </c>
      <c r="F760" s="2" t="inlineStr">
        <is>
          <t>5999084958831</t>
        </is>
      </c>
      <c r="G760" s="4" t="inlineStr">
        <is>
          <t xml:space="preserve"> • umiestnenie: na vonkajšie / vnútorné použitie 
 • zdroj svetla: LED 
 • počet zdrojov svetla: 240 ks 
 • farba zdrojov svetla: studená biela 
 • farba kábla: priesvitný 
 • napájanie: IP44 sieťový adaptér je príslušenstvom 
 • ďalšie informácie: 15 cencúl, 16 LED na jednom cencúli</t>
        </is>
      </c>
    </row>
    <row r="761">
      <c r="A761" s="3" t="inlineStr">
        <is>
          <t>LP 20/WW</t>
        </is>
      </c>
      <c r="B761" s="2" t="inlineStr">
        <is>
          <t>LED svietiaci reťazec, tvar hrušky</t>
        </is>
      </c>
      <c r="C761" s="1" t="n">
        <v>31.99</v>
      </c>
      <c r="D761" s="7" t="n">
        <f>HYPERLINK("https://www.somogyi.sk/product/led-svietiaci-retazec-tvar-hrusky-lp-20-ww-14843","https://www.somogyi.sk/product/led-svietiaci-retazec-tvar-hrusky-lp-20-ww-14843")</f>
        <v>0.0</v>
      </c>
      <c r="E761" s="7" t="n">
        <f>HYPERLINK("https://www.somogyi.sk/productimages/product_main_images/small/14843.jpg","https://www.somogyi.sk/productimages/product_main_images/small/14843.jpg")</f>
        <v>0.0</v>
      </c>
      <c r="F761" s="2" t="inlineStr">
        <is>
          <t>5999084928803</t>
        </is>
      </c>
      <c r="G761" s="4" t="inlineStr">
        <is>
          <t xml:space="preserve"> • umiestnenie: vonkajšie / vnútorné použitie 
 • zdroj svetla: LED 
 • počet zdrojov svetla: 20 ks 
 • farba zdrojov svetla: teplá biela 
 • funkcie: - 
 • farba kábla: priesvitná 
 • dĺžka: 9,5 m 
 • náhradná žiarovka: - 
 • napájanie: 230 V~ (adaptérové) 
 • ďalšie informácie: 20 ks plastových žiaroviek</t>
        </is>
      </c>
    </row>
    <row r="762">
      <c r="A762" s="3" t="inlineStr">
        <is>
          <t>KII 200B/WW</t>
        </is>
      </c>
      <c r="B762" s="2" t="inlineStr">
        <is>
          <t>LED svietiaci reťazec guľa</t>
        </is>
      </c>
      <c r="C762" s="1" t="n">
        <v>31.99</v>
      </c>
      <c r="D762" s="7" t="n">
        <f>HYPERLINK("https://www.somogyi.sk/product/led-svietiaci-retazec-gula-kii-200b-ww-16145","https://www.somogyi.sk/product/led-svietiaci-retazec-gula-kii-200b-ww-16145")</f>
        <v>0.0</v>
      </c>
      <c r="E762" s="7" t="n">
        <f>HYPERLINK("https://www.somogyi.sk/productimages/product_main_images/small/16145.jpg","https://www.somogyi.sk/productimages/product_main_images/small/16145.jpg")</f>
        <v>0.0</v>
      </c>
      <c r="F762" s="2" t="inlineStr">
        <is>
          <t>5999084941772</t>
        </is>
      </c>
      <c r="G762" s="4" t="inlineStr">
        <is>
          <t xml:space="preserve"> • umiestnenie: na vnútorné použitie 
 • zdroj svetla: LED 
 • počet zdrojov svetla: 200 ks 
 • farba zdrojov svetla: teplá biela 
 • farba kábla: zelená 
 • dĺžka: 16 m 
 • napájanie: 230 V~ (adaptér)</t>
        </is>
      </c>
    </row>
    <row r="763">
      <c r="A763" s="3" t="inlineStr">
        <is>
          <t>G 10201</t>
        </is>
      </c>
      <c r="B763" s="2" t="inlineStr">
        <is>
          <t>Dekorácia cencúľ, 10 cencúľ, 200 LED</t>
        </is>
      </c>
      <c r="C763" s="1" t="n">
        <v>56.99</v>
      </c>
      <c r="D763" s="7" t="n">
        <f>HYPERLINK("https://www.somogyi.sk/product/dekoracia-cencul-10-cencul-200-led-g-10201-17862","https://www.somogyi.sk/product/dekoracia-cencul-10-cencul-200-led-g-10201-17862")</f>
        <v>0.0</v>
      </c>
      <c r="E763" s="7" t="n">
        <f>HYPERLINK("https://www.somogyi.sk/productimages/product_main_images/small/17862.jpg","https://www.somogyi.sk/productimages/product_main_images/small/17862.jpg")</f>
        <v>0.0</v>
      </c>
      <c r="F763" s="2" t="inlineStr">
        <is>
          <t>5999084958848</t>
        </is>
      </c>
      <c r="G763" s="4" t="inlineStr">
        <is>
          <t xml:space="preserve"> • umiestnenie: na vonkajšie / vnútorné použitie 
 • zdroj svetla: LED 
 • počet zdrojov svetla: 200 ks 
 • farba zdrojov svetla: studená biela 
 • dĺžka: 3,6 m 
 • napájanie: 230 V~ / 50 Hz (7 V adaptér) 
 • ďalšie informácie: 10 x 20 cm cencúle</t>
        </is>
      </c>
    </row>
    <row r="764">
      <c r="A764" s="3" t="inlineStr">
        <is>
          <t>KJL 35</t>
        </is>
      </c>
      <c r="B764" s="2" t="inlineStr">
        <is>
          <t>LED svietiaci reťazec, cencúľ</t>
        </is>
      </c>
      <c r="C764" s="1" t="n">
        <v>68.99</v>
      </c>
      <c r="D764" s="7" t="n">
        <f>HYPERLINK("https://www.somogyi.sk/product/led-svietiaci-retazec-cencul-kjl-35-15619","https://www.somogyi.sk/product/led-svietiaci-retazec-cencul-kjl-35-15619")</f>
        <v>0.0</v>
      </c>
      <c r="E764" s="7" t="n">
        <f>HYPERLINK("https://www.somogyi.sk/productimages/product_main_images/small/15619.jpg","https://www.somogyi.sk/productimages/product_main_images/small/15619.jpg")</f>
        <v>0.0</v>
      </c>
      <c r="F764" s="2" t="inlineStr">
        <is>
          <t>5999084936532</t>
        </is>
      </c>
      <c r="G764" s="4" t="inlineStr">
        <is>
          <t xml:space="preserve"> • umiestnenie: na vonkajšie / vnútorné použitie 
 • zdroj svetla: LED 
 • počet zdrojov svetla: 15 x 18 ks 
 • farba zdrojov svetla: studená biela 
 • funkcie: svetlohra imitujúca topenie ľadu 
 • farba kábla: priesvitný 
 • dĺžka: 5,6 m 
 • napájanie: 230 V~ (adaptér) 
 • ďalšie informácie: 15 ks 35 cm cencúl</t>
        </is>
      </c>
    </row>
    <row r="765">
      <c r="A765" s="3" t="inlineStr">
        <is>
          <t>KII 100B/M</t>
        </is>
      </c>
      <c r="B765" s="2" t="inlineStr">
        <is>
          <t>LED svietiaci reťazec guľa</t>
        </is>
      </c>
      <c r="C765" s="1" t="n">
        <v>19.99</v>
      </c>
      <c r="D765" s="7" t="n">
        <f>HYPERLINK("https://www.somogyi.sk/product/led-svietiaci-retazec-gula-kii-100b-m-16144","https://www.somogyi.sk/product/led-svietiaci-retazec-gula-kii-100b-m-16144")</f>
        <v>0.0</v>
      </c>
      <c r="E765" s="7" t="n">
        <f>HYPERLINK("https://www.somogyi.sk/productimages/product_main_images/small/16144.jpg","https://www.somogyi.sk/productimages/product_main_images/small/16144.jpg")</f>
        <v>0.0</v>
      </c>
      <c r="F765" s="2" t="inlineStr">
        <is>
          <t>5999084941765</t>
        </is>
      </c>
      <c r="G765" s="4" t="inlineStr">
        <is>
          <t xml:space="preserve"> • umiestnenie: na vnútorné použitie 
 • zdroj svetla: LED 
 • počet zdrojov svetla: 100 ks 
 • farba zdrojov svetla: farebná 
 • farba kábla: zelená 
 • dĺžka: 8 m 
 • napájanie: 230 V~ (adaptér)</t>
        </is>
      </c>
    </row>
    <row r="766">
      <c r="A766" s="3" t="inlineStr">
        <is>
          <t>KLG 25</t>
        </is>
      </c>
      <c r="B766" s="2" t="inlineStr">
        <is>
          <t>Micro LED svietiaci reťazec s perlami</t>
        </is>
      </c>
      <c r="C766" s="1" t="n">
        <v>11.49</v>
      </c>
      <c r="D766" s="7" t="n">
        <f>HYPERLINK("https://www.somogyi.sk/product/micro-led-svietiaci-retazec-s-perlami-klg-25-15601","https://www.somogyi.sk/product/micro-led-svietiaci-retazec-s-perlami-klg-25-15601")</f>
        <v>0.0</v>
      </c>
      <c r="E766" s="7" t="n">
        <f>HYPERLINK("https://www.somogyi.sk/productimages/product_main_images/small/15601.jpg","https://www.somogyi.sk/productimages/product_main_images/small/15601.jpg")</f>
        <v>0.0</v>
      </c>
      <c r="F766" s="2" t="inlineStr">
        <is>
          <t>5999084936358</t>
        </is>
      </c>
      <c r="G766" s="4" t="inlineStr">
        <is>
          <t xml:space="preserve"> • umiestnenie: na vnútorné použitie 
 • zdroj svetla: micro LED 
 • počet zdrojov svetla: 25 ks 
 • farba zdrojov svetla: teplá biela 
 • farba kábla: priesvitný 
 • dĺžka: 1,5 m 
 • napájanie: 3 x AA batéria (nie je príslušenstvom) 
 • ďalšie informácie: akrylová dekorácia perla, za- / vypínač</t>
        </is>
      </c>
    </row>
    <row r="767">
      <c r="A767" s="3" t="inlineStr">
        <is>
          <t>KII 200B/M</t>
        </is>
      </c>
      <c r="B767" s="2" t="inlineStr">
        <is>
          <t>LED svietiaci reťazec guľa</t>
        </is>
      </c>
      <c r="C767" s="1" t="n">
        <v>31.99</v>
      </c>
      <c r="D767" s="7" t="n">
        <f>HYPERLINK("https://www.somogyi.sk/product/led-svietiaci-retazec-gula-kii-200b-m-16146","https://www.somogyi.sk/product/led-svietiaci-retazec-gula-kii-200b-m-16146")</f>
        <v>0.0</v>
      </c>
      <c r="E767" s="7" t="n">
        <f>HYPERLINK("https://www.somogyi.sk/productimages/product_main_images/small/16146.jpg","https://www.somogyi.sk/productimages/product_main_images/small/16146.jpg")</f>
        <v>0.0</v>
      </c>
      <c r="F767" s="2" t="inlineStr">
        <is>
          <t>5999084941789</t>
        </is>
      </c>
      <c r="G767" s="4" t="inlineStr">
        <is>
          <t xml:space="preserve"> • umiestnenie: na vnútorné použitie 
 • zdroj svetla: LED 
 • počet zdrojov svetla: 200 ks 
 • farba zdrojov svetla: farebná 
 • farba kábla: zelená 
 • dĺžka: 16 m 
 • napájanie: 230 V~ (adaptér)</t>
        </is>
      </c>
    </row>
    <row r="768">
      <c r="A768" s="3" t="inlineStr">
        <is>
          <t>ML 23/WW</t>
        </is>
      </c>
      <c r="B768" s="2" t="inlineStr">
        <is>
          <t>Micro LED svietiaci reťazec</t>
        </is>
      </c>
      <c r="C768" s="1" t="n">
        <v>6.59</v>
      </c>
      <c r="D768" s="7" t="n">
        <f>HYPERLINK("https://www.somogyi.sk/product/micro-led-svietiaci-retazec-ml-23-ww-16985","https://www.somogyi.sk/product/micro-led-svietiaci-retazec-ml-23-ww-16985")</f>
        <v>0.0</v>
      </c>
      <c r="E768" s="7" t="n">
        <f>HYPERLINK("https://www.somogyi.sk/productimages/product_main_images/small/16985.jpg","https://www.somogyi.sk/productimages/product_main_images/small/16985.jpg")</f>
        <v>0.0</v>
      </c>
      <c r="F768" s="2" t="inlineStr">
        <is>
          <t>5999084950170</t>
        </is>
      </c>
      <c r="G768" s="4" t="inlineStr">
        <is>
          <t xml:space="preserve"> • umiestnenie: na vnútorné použitie 
 • zdroj svetla: micro LED 
 • počet zdrojov svetla: 20 ks 
 • farba zdrojov svetla: teplá biela 
 • funkcie: ON/OFF/TIMER (6 h ON/18 h OFF) časovač 
 • napájanie: 2 x 1,5 V (AA) batéria, nie je príslušenstvom 
 • ďalšie informácie: 4 druhy, drevené figúrky: sob, zvonček, anjel, vločka</t>
        </is>
      </c>
    </row>
    <row r="769">
      <c r="A769" s="3" t="inlineStr">
        <is>
          <t>MLC 10/CS</t>
        </is>
      </c>
      <c r="B769" s="2" t="inlineStr">
        <is>
          <t>LED svietiaci reťazec, hviezda</t>
        </is>
      </c>
      <c r="C769" s="1" t="n">
        <v>3.19</v>
      </c>
      <c r="D769" s="7" t="n">
        <f>HYPERLINK("https://www.somogyi.sk/product/led-svietiaci-retazec-hviezda-mlc-10-cs-9868","https://www.somogyi.sk/product/led-svietiaci-retazec-hviezda-mlc-10-cs-9868")</f>
        <v>0.0</v>
      </c>
      <c r="E769" s="7" t="n">
        <f>HYPERLINK("https://www.somogyi.sk/productimages/product_main_images/small/09868.jpg","https://www.somogyi.sk/productimages/product_main_images/small/09868.jpg")</f>
        <v>0.0</v>
      </c>
      <c r="F769" s="2" t="inlineStr">
        <is>
          <t>5998312785881</t>
        </is>
      </c>
      <c r="G769" s="4" t="inlineStr">
        <is>
          <t xml:space="preserve"> • umiestnenie: vnútorné použitie 
 • zdroj svetla: LED 
 • počet zdrojov svetla: 10 ks 
 • farba zdrojov svetla: studená biela 
 • funkcie: - 
 • farba kábla: priesvitná 
 • dĺžka: 0,9 m 
 • náhradná žiarovka: - 
 • napájanie: 2 x AA batéria (nie je príslušenstvom) 
 • ďalšie informácie: držiak batérií s vypínačom</t>
        </is>
      </c>
    </row>
    <row r="770">
      <c r="A770" s="3" t="inlineStr">
        <is>
          <t>KJL 50C</t>
        </is>
      </c>
      <c r="B770" s="2" t="inlineStr">
        <is>
          <t>Svetelný reťazec cencúľ</t>
        </is>
      </c>
      <c r="C770" s="1" t="n">
        <v>38.99</v>
      </c>
      <c r="D770" s="7" t="n">
        <f>HYPERLINK("https://www.somogyi.sk/product/svetelny-retazec-cencul-kjl-50c-15475","https://www.somogyi.sk/product/svetelny-retazec-cencul-kjl-50c-15475")</f>
        <v>0.0</v>
      </c>
      <c r="E770" s="7" t="n">
        <f>HYPERLINK("https://www.somogyi.sk/productimages/product_main_images/small/15475.jpg","https://www.somogyi.sk/productimages/product_main_images/small/15475.jpg")</f>
        <v>0.0</v>
      </c>
      <c r="F770" s="2" t="inlineStr">
        <is>
          <t>5999084935092</t>
        </is>
      </c>
      <c r="G770" s="4" t="inlineStr">
        <is>
          <t xml:space="preserve"> • umiestnenie: na vonkajšie / vnútorné použitie 
 • zdroj svetla: LED 
 • počet zdrojov svetla: 50 ks 
 • farba zdrojov svetla: studená biela 
 • farba kábla: biela 
 • dĺžka: 7,3 m 
 • napájanie: 230 V~ (adaptér) 
 • ďalšie informácie: 50 ks 15 cm cencúľ, v plastovom kufríku</t>
        </is>
      </c>
    </row>
    <row r="771">
      <c r="A771" s="3" t="inlineStr">
        <is>
          <t>KIL 40C/M</t>
        </is>
      </c>
      <c r="B771" s="2" t="inlineStr">
        <is>
          <t>Svietiaci reťazec</t>
        </is>
      </c>
      <c r="C771" s="1" t="n">
        <v>12.49</v>
      </c>
      <c r="D771" s="7" t="n">
        <f>HYPERLINK("https://www.somogyi.sk/product/svietiaci-retazec-kil-40c-m-15576","https://www.somogyi.sk/product/svietiaci-retazec-kil-40c-m-15576")</f>
        <v>0.0</v>
      </c>
      <c r="E771" s="7" t="n">
        <f>HYPERLINK("https://www.somogyi.sk/productimages/product_main_images/small/15576.jpg","https://www.somogyi.sk/productimages/product_main_images/small/15576.jpg")</f>
        <v>0.0</v>
      </c>
      <c r="F771" s="2" t="inlineStr">
        <is>
          <t>5999084936105</t>
        </is>
      </c>
      <c r="G771" s="4" t="inlineStr">
        <is>
          <t xml:space="preserve"> • umiestnenie: na vnútorné použitie 
 • zdroj svetla: LED 
 • počet zdrojov svetla: 40 ks 
 • farba zdrojov svetla: farebná 
 • farba kábla: zelená 
 • dĺžka: 4 m 
 • napájanie: 230 V~ 
 • ďalšie informácie: balenie: plastový kufrík</t>
        </is>
      </c>
    </row>
    <row r="772">
      <c r="A772" s="3" t="inlineStr">
        <is>
          <t>KBC 50</t>
        </is>
      </c>
      <c r="B772" s="2" t="inlineStr">
        <is>
          <t>LED svietiaci reťazec, guľa</t>
        </is>
      </c>
      <c r="C772" s="1" t="n">
        <v>22.99</v>
      </c>
      <c r="D772" s="7" t="n">
        <f>HYPERLINK("https://www.somogyi.sk/product/led-svietiaci-retazec-gula-kbc-50-15647","https://www.somogyi.sk/product/led-svietiaci-retazec-gula-kbc-50-15647")</f>
        <v>0.0</v>
      </c>
      <c r="E772" s="7" t="n">
        <f>HYPERLINK("https://www.somogyi.sk/productimages/product_main_images/small/15647.jpg","https://www.somogyi.sk/productimages/product_main_images/small/15647.jpg")</f>
        <v>0.0</v>
      </c>
      <c r="F772" s="2" t="inlineStr">
        <is>
          <t>5999084936815</t>
        </is>
      </c>
      <c r="G772" s="4" t="inlineStr">
        <is>
          <t xml:space="preserve"> • umiestnenie: na vonkajšie / vnútorné použitie 
 • zdroj svetla: LED 
 • počet zdrojov svetla: 50 ks 
 • farba zdrojov svetla: zmena farieb LED 
 • funkcie: automatická, priebežná zmena farieb 
 • farba kábla: čierna 
 • dĺžka: 4,9 m 
 • napájanie: 230 V~ (adaptér) 
 • ďalšie informácie: opálová guľa dekorácia</t>
        </is>
      </c>
    </row>
    <row r="773">
      <c r="A773" s="3" t="inlineStr">
        <is>
          <t>ML 21/WW</t>
        </is>
      </c>
      <c r="B773" s="2" t="inlineStr">
        <is>
          <t>LED svietiaci reťazec batériový, 20 LED, dekorácia krištáľ</t>
        </is>
      </c>
      <c r="C773" s="1" t="n">
        <v>4.59</v>
      </c>
      <c r="D773" s="7" t="n">
        <f>HYPERLINK("https://www.somogyi.sk/product/led-svietiaci-retazec-bateriovy-20-led-dekoracia-kristal-ml-21-ww-16026","https://www.somogyi.sk/product/led-svietiaci-retazec-bateriovy-20-led-dekoracia-kristal-ml-21-ww-16026")</f>
        <v>0.0</v>
      </c>
      <c r="E773" s="7" t="n">
        <f>HYPERLINK("https://www.somogyi.sk/productimages/product_main_images/small/16026.jpg","https://www.somogyi.sk/productimages/product_main_images/small/16026.jpg")</f>
        <v>0.0</v>
      </c>
      <c r="F773" s="2" t="inlineStr">
        <is>
          <t>5999084940584</t>
        </is>
      </c>
      <c r="G773" s="4" t="inlineStr">
        <is>
          <t xml:space="preserve"> • umiestnenie: na vnútorné použitie 
 • zdroj svetla: micro LED 
 • počet zdrojov svetla: 20 ks 
 • farba zdrojov svetla: teplá biela 
 • farba kábla: transparentný 
 • dĺžka: 1,9 m 
 • napájanie: 2 x AA (1,5 V) batéria (nie je príslušenstvom) 
 • ďalšie informácie: akrylová krištálová dekorácia</t>
        </is>
      </c>
    </row>
    <row r="774">
      <c r="A774" s="3" t="inlineStr">
        <is>
          <t>KII 100B/WW</t>
        </is>
      </c>
      <c r="B774" s="2" t="inlineStr">
        <is>
          <t>LED svietiaci reťazec guľa</t>
        </is>
      </c>
      <c r="C774" s="1" t="n">
        <v>19.99</v>
      </c>
      <c r="D774" s="7" t="n">
        <f>HYPERLINK("https://www.somogyi.sk/product/led-svietiaci-retazec-gula-kii-100b-ww-16143","https://www.somogyi.sk/product/led-svietiaci-retazec-gula-kii-100b-ww-16143")</f>
        <v>0.0</v>
      </c>
      <c r="E774" s="7" t="n">
        <f>HYPERLINK("https://www.somogyi.sk/productimages/product_main_images/small/16143.jpg","https://www.somogyi.sk/productimages/product_main_images/small/16143.jpg")</f>
        <v>0.0</v>
      </c>
      <c r="F774" s="2" t="inlineStr">
        <is>
          <t>5999084941758</t>
        </is>
      </c>
      <c r="G774" s="4" t="inlineStr">
        <is>
          <t xml:space="preserve"> • umiestnenie: na vnútorné použitie 
 • zdroj svetla: LED 
 • počet zdrojov svetla: 100 ks 
 • farba zdrojov svetla: teplá biela 
 • farba kábla: zelená 
 • dĺžka: 8 m 
 • napájanie: 230 V~ (adaptér)</t>
        </is>
      </c>
    </row>
    <row r="775">
      <c r="A775" s="6" t="inlineStr">
        <is>
          <t xml:space="preserve">   Vianočné dekoračné osvetlenie / Svetelný záves</t>
        </is>
      </c>
      <c r="B775" s="6" t="inlineStr">
        <is>
          <t/>
        </is>
      </c>
      <c r="C775" s="6" t="inlineStr">
        <is>
          <t/>
        </is>
      </c>
      <c r="D775" s="6" t="inlineStr">
        <is>
          <t/>
        </is>
      </c>
      <c r="E775" s="6" t="inlineStr">
        <is>
          <t/>
        </is>
      </c>
      <c r="F775" s="6" t="inlineStr">
        <is>
          <t/>
        </is>
      </c>
      <c r="G775" s="6" t="inlineStr">
        <is>
          <t/>
        </is>
      </c>
    </row>
    <row r="776">
      <c r="A776" s="3" t="inlineStr">
        <is>
          <t>KAF 300L 5M</t>
        </is>
      </c>
      <c r="B776" s="2" t="inlineStr">
        <is>
          <t>LED svetelný záves s cencúľmi, blikajúci, 5m, IP44, 230V</t>
        </is>
      </c>
      <c r="C776" s="1" t="n">
        <v>45.99</v>
      </c>
      <c r="D776" s="7" t="n">
        <f>HYPERLINK("https://www.somogyi.sk/product/led-svetelny-zaves-s-cenculmi-blikajuci-5m-ip44-230v-kaf-300l-5m-14727","https://www.somogyi.sk/product/led-svetelny-zaves-s-cenculmi-blikajuci-5m-ip44-230v-kaf-300l-5m-14727")</f>
        <v>0.0</v>
      </c>
      <c r="E776" s="7" t="n">
        <f>HYPERLINK("https://www.somogyi.sk/productimages/product_main_images/small/14727.jpg","https://www.somogyi.sk/productimages/product_main_images/small/14727.jpg")</f>
        <v>0.0</v>
      </c>
      <c r="F776" s="2" t="inlineStr">
        <is>
          <t>5999084927691</t>
        </is>
      </c>
      <c r="G776" s="4" t="inlineStr">
        <is>
          <t xml:space="preserve"> • umiestnenie: vonkajšie / vnútorné použitie 
 • zdroj svetla: LED 
 • počet zdrojov svetla: 300 ks 
 • farba zdrojov svetla: teplá biela 
 • funkcie: v každom druhom reťazci bliká jedna studená biela LED 
 • farba kábla: biela 
 • dĺžka: 5 m 
 • napájanie: 230 V~ (adaptérové) 
 • ďalšie informácie: -</t>
        </is>
      </c>
    </row>
    <row r="777">
      <c r="A777" s="3" t="inlineStr">
        <is>
          <t>KIN 126C/WH</t>
        </is>
      </c>
      <c r="B777" s="2" t="inlineStr">
        <is>
          <t>LED svetelný záves</t>
        </is>
      </c>
      <c r="C777" s="1" t="n">
        <v>18.49</v>
      </c>
      <c r="D777" s="7" t="n">
        <f>HYPERLINK("https://www.somogyi.sk/product/led-svetelny-zaves-kin-126c-wh-15472","https://www.somogyi.sk/product/led-svetelny-zaves-kin-126c-wh-15472")</f>
        <v>0.0</v>
      </c>
      <c r="E777" s="7" t="n">
        <f>HYPERLINK("https://www.somogyi.sk/productimages/product_main_images/small/15472.jpg","https://www.somogyi.sk/productimages/product_main_images/small/15472.jpg")</f>
        <v>0.0</v>
      </c>
      <c r="F777" s="2" t="inlineStr">
        <is>
          <t>5999084935061</t>
        </is>
      </c>
      <c r="G777" s="4" t="inlineStr">
        <is>
          <t xml:space="preserve"> • umiestnenie: na vnútorné použitie 
 • zdroj svetla: LED 
 • počet zdrojov svetla: 126 ks 
 • farba zdrojov svetla: studená biela 
 • farba kábla: biela 
 • dĺžka: 0,9 m 
 • napájanie: 230 V~ (adaptér) 
 • ďalšie informácie: 9 reťazcov, 14 LED na každom reťazci, balenie: plastový kufrík</t>
        </is>
      </c>
    </row>
    <row r="778">
      <c r="A778" s="3" t="inlineStr">
        <is>
          <t>KIN 168C/WH</t>
        </is>
      </c>
      <c r="B778" s="2" t="inlineStr">
        <is>
          <t>LED svetelný záves</t>
        </is>
      </c>
      <c r="C778" s="1" t="n">
        <v>19.99</v>
      </c>
      <c r="D778" s="7" t="n">
        <f>HYPERLINK("https://www.somogyi.sk/product/led-svetelny-zaves-kin-168c-wh-15473","https://www.somogyi.sk/product/led-svetelny-zaves-kin-168c-wh-15473")</f>
        <v>0.0</v>
      </c>
      <c r="E778" s="7" t="n">
        <f>HYPERLINK("https://www.somogyi.sk/productimages/product_main_images/small/15473.jpg","https://www.somogyi.sk/productimages/product_main_images/small/15473.jpg")</f>
        <v>0.0</v>
      </c>
      <c r="F778" s="2" t="inlineStr">
        <is>
          <t>5999084935078</t>
        </is>
      </c>
      <c r="G778" s="4" t="inlineStr">
        <is>
          <t xml:space="preserve"> • umiestnenie: na vnútorné použitie 
 • zdroj svetla: LED 
 • počet zdrojov svetla: 168 ks 
 • farba zdrojov svetla: studená biela 
 • farba kábla: biela 
 • dĺžka: 1,2 m 
 • napájanie: 230 V~ (adaptér) 
 • ďalšie informácie: 12 reťazcov, 14 LED na každom reťazci, balenie: plastový kufrík</t>
        </is>
      </c>
    </row>
    <row r="779">
      <c r="A779" s="3" t="inlineStr">
        <is>
          <t>KIN 126C/WW</t>
        </is>
      </c>
      <c r="B779" s="2" t="inlineStr">
        <is>
          <t>LED svetelný záves</t>
        </is>
      </c>
      <c r="C779" s="1" t="n">
        <v>18.49</v>
      </c>
      <c r="D779" s="7" t="n">
        <f>HYPERLINK("https://www.somogyi.sk/product/led-svetelny-zaves-kin-126c-ww-15624","https://www.somogyi.sk/product/led-svetelny-zaves-kin-126c-ww-15624")</f>
        <v>0.0</v>
      </c>
      <c r="E779" s="7" t="n">
        <f>HYPERLINK("https://www.somogyi.sk/productimages/product_main_images/small/15624.jpg","https://www.somogyi.sk/productimages/product_main_images/small/15624.jpg")</f>
        <v>0.0</v>
      </c>
      <c r="F779" s="2" t="inlineStr">
        <is>
          <t>5999084936587</t>
        </is>
      </c>
      <c r="G779" s="4" t="inlineStr">
        <is>
          <t xml:space="preserve"> • umiestnenie: na vnútorné použitie 
 • zdroj svetla: LED 
 • počet zdrojov svetla: 126 ks 
 • farba zdrojov svetla: teplá biela 
 • farba kábla: biela 
 • dĺžka: 0,9 m 
 • napájanie: 230 V~ (adaptér) 
 • ďalšie informácie: 9 reťazcov, 14 LED na každom reťazci, balenie: plastový kufrík</t>
        </is>
      </c>
    </row>
    <row r="780">
      <c r="A780" s="3" t="inlineStr">
        <is>
          <t>KIN 168C/WW</t>
        </is>
      </c>
      <c r="B780" s="2" t="inlineStr">
        <is>
          <t>LED svetelný záves</t>
        </is>
      </c>
      <c r="C780" s="1" t="n">
        <v>19.99</v>
      </c>
      <c r="D780" s="7" t="n">
        <f>HYPERLINK("https://www.somogyi.sk/product/led-svetelny-zaves-kin-168c-ww-15625","https://www.somogyi.sk/product/led-svetelny-zaves-kin-168c-ww-15625")</f>
        <v>0.0</v>
      </c>
      <c r="E780" s="7" t="n">
        <f>HYPERLINK("https://www.somogyi.sk/productimages/product_main_images/small/15625.jpg","https://www.somogyi.sk/productimages/product_main_images/small/15625.jpg")</f>
        <v>0.0</v>
      </c>
      <c r="F780" s="2" t="inlineStr">
        <is>
          <t>5999084936594</t>
        </is>
      </c>
      <c r="G780" s="4" t="inlineStr">
        <is>
          <t xml:space="preserve"> • umiestnenie: na vnútorné použitie 
 • zdroj svetla: LED 
 • počet zdrojov svetla: 168 ks 
 • farba zdrojov svetla: teplá biela 
 • farba kábla: biela 
 • dĺžka: 1,2 m 
 • napájanie: 230 V~ (adaptér) 
 • ďalšie informácie: 12 reťazcov, 14 LED na každom reťazci, balenie: plastový kufrík</t>
        </is>
      </c>
    </row>
    <row r="781">
      <c r="A781" s="3" t="inlineStr">
        <is>
          <t>KAF 210LC</t>
        </is>
      </c>
      <c r="B781" s="2" t="inlineStr">
        <is>
          <t>LED svietiaci záves, na vonkajšie použitie,  2 m x 1 m, 210 ks studených bielych LED</t>
        </is>
      </c>
      <c r="C781" s="1" t="n">
        <v>28.99</v>
      </c>
      <c r="D781" s="7" t="n">
        <f>HYPERLINK("https://www.somogyi.sk/product/led-svietiaci-zaves-na-vonkajsie-pouzitie-2-m-x-1-m-210-ks-studenych-bielych-led-kaf-210lc-15570","https://www.somogyi.sk/product/led-svietiaci-zaves-na-vonkajsie-pouzitie-2-m-x-1-m-210-ks-studenych-bielych-led-kaf-210lc-15570")</f>
        <v>0.0</v>
      </c>
      <c r="E781" s="7" t="n">
        <f>HYPERLINK("https://www.somogyi.sk/productimages/product_main_images/small/15570.jpg","https://www.somogyi.sk/productimages/product_main_images/small/15570.jpg")</f>
        <v>0.0</v>
      </c>
      <c r="F781" s="2" t="inlineStr">
        <is>
          <t>5999084936044</t>
        </is>
      </c>
      <c r="G781" s="4" t="inlineStr">
        <is>
          <t xml:space="preserve"> • umiestnenie: na vonkajšie / vnútorné použitie 
 • zdroj svetla: LED 
 • počet zdrojov svetla: 210 ks 
 • farba zdrojov svetla: studená biela 
 • farba kábla: biela 
 • dĺžka: 2 m 
 • napájanie: 230 V~ (adaptér) 
 • ďalšie informácie: balenie: plastový kufrík</t>
        </is>
      </c>
    </row>
    <row r="782">
      <c r="A782" s="3" t="inlineStr">
        <is>
          <t>KAF 210LC/WW</t>
        </is>
      </c>
      <c r="B782" s="2" t="inlineStr">
        <is>
          <t>LED svietiaci záves</t>
        </is>
      </c>
      <c r="C782" s="1" t="n">
        <v>28.99</v>
      </c>
      <c r="D782" s="7" t="n">
        <f>HYPERLINK("https://www.somogyi.sk/product/led-svietiaci-zaves-kaf-210lc-ww-17319","https://www.somogyi.sk/product/led-svietiaci-zaves-kaf-210lc-ww-17319")</f>
        <v>0.0</v>
      </c>
      <c r="E782" s="7" t="n">
        <f>HYPERLINK("https://www.somogyi.sk/productimages/product_main_images/small/17319.jpg","https://www.somogyi.sk/productimages/product_main_images/small/17319.jpg")</f>
        <v>0.0</v>
      </c>
      <c r="F782" s="2" t="inlineStr">
        <is>
          <t>5999084953416</t>
        </is>
      </c>
      <c r="G782" s="4" t="inlineStr">
        <is>
          <t xml:space="preserve"> • umiestnenie: na vonkajšie / vnútorné použitie 
 • zdroj svetla: LED 
 • počet zdrojov svetla: 210 ks 
 • farba zdrojov svetla: teplá biela 
 • farba kábla: biela farba 
 • dĺžka: 2 m 
 • napájanie: 230 V~ (adaptérový)</t>
        </is>
      </c>
    </row>
    <row r="783">
      <c r="A783" s="3" t="inlineStr">
        <is>
          <t>KAF 50C LED/WW</t>
        </is>
      </c>
      <c r="B783" s="2" t="inlineStr">
        <is>
          <t>LED svetelný záves, cencúľ</t>
        </is>
      </c>
      <c r="C783" s="1" t="n">
        <v>13.99</v>
      </c>
      <c r="D783" s="7" t="n">
        <f>HYPERLINK("https://www.somogyi.sk/product/led-svetelny-zaves-cencul-kaf-50c-led-ww-16148","https://www.somogyi.sk/product/led-svetelny-zaves-cencul-kaf-50c-led-ww-16148")</f>
        <v>0.0</v>
      </c>
      <c r="E783" s="7" t="n">
        <f>HYPERLINK("https://www.somogyi.sk/productimages/product_main_images/small/16148.jpg","https://www.somogyi.sk/productimages/product_main_images/small/16148.jpg")</f>
        <v>0.0</v>
      </c>
      <c r="F783" s="2" t="inlineStr">
        <is>
          <t>5999084941802</t>
        </is>
      </c>
      <c r="G783" s="4" t="inlineStr">
        <is>
          <t xml:space="preserve"> • umiestnenie: na vnútorné použitie 
 • zdroj svetla: LED 
 • počet zdrojov svetla: 50 ks 
 • farba zdrojov svetla: teplá biela 
 • farba kábla: biela 
 • napájanie: 230~ (adaptér) 
 • ďalšie informácie: 5/4/5/6/5/4/5/6/4/6 reťazce</t>
        </is>
      </c>
    </row>
    <row r="784">
      <c r="A784" s="3" t="inlineStr">
        <is>
          <t>KIN 294C/WH</t>
        </is>
      </c>
      <c r="B784" s="2" t="inlineStr">
        <is>
          <t>LED svetelný záves</t>
        </is>
      </c>
      <c r="C784" s="1" t="n">
        <v>30.99</v>
      </c>
      <c r="D784" s="7" t="n">
        <f>HYPERLINK("https://www.somogyi.sk/product/led-svetelny-zaves-kin-294c-wh-18138","https://www.somogyi.sk/product/led-svetelny-zaves-kin-294c-wh-18138")</f>
        <v>0.0</v>
      </c>
      <c r="E784" s="7" t="n">
        <f>HYPERLINK("https://www.somogyi.sk/productimages/product_main_images/small/18138.jpg","https://www.somogyi.sk/productimages/product_main_images/small/18138.jpg")</f>
        <v>0.0</v>
      </c>
      <c r="F784" s="2" t="inlineStr">
        <is>
          <t>5999084961602</t>
        </is>
      </c>
      <c r="G784" s="4" t="inlineStr">
        <is>
          <t xml:space="preserve"> • na vonkajšie a vnútorné použitie 
 • 294 ks studených bielych stálych LED 
 • 21 reťazcov, 14 LED na jednom reťazci 
 • biely kábel 
 • napájanie: IP44 sieťový adaptér na vonkajšie použitie 
 • romzery: 2 x 1,4 m</t>
        </is>
      </c>
    </row>
    <row r="785">
      <c r="A785" s="3" t="inlineStr">
        <is>
          <t>KIN 294C/WW</t>
        </is>
      </c>
      <c r="B785" s="2" t="inlineStr">
        <is>
          <t>LED svetelný záves</t>
        </is>
      </c>
      <c r="C785" s="1" t="n">
        <v>30.99</v>
      </c>
      <c r="D785" s="7" t="n">
        <f>HYPERLINK("https://www.somogyi.sk/product/led-svetelny-zaves-kin-294c-ww-18139","https://www.somogyi.sk/product/led-svetelny-zaves-kin-294c-ww-18139")</f>
        <v>0.0</v>
      </c>
      <c r="E785" s="7" t="n">
        <f>HYPERLINK("https://www.somogyi.sk/productimages/product_main_images/small/18139.jpg","https://www.somogyi.sk/productimages/product_main_images/small/18139.jpg")</f>
        <v>0.0</v>
      </c>
      <c r="F785" s="2" t="inlineStr">
        <is>
          <t>5999084961619</t>
        </is>
      </c>
      <c r="G785" s="4" t="inlineStr">
        <is>
          <t xml:space="preserve"> • na vonkajšie a vnútorné použitie 
 • 294 ks teplých bielych stálych LED 
 • 21 reťazcov, 14 LED na jednom reťazci 
 • biely kábel 
 • napájanie: IP44 sieťový adaptér na vonkajšie použitie 
 • romzery: 2 x 1,4 m</t>
        </is>
      </c>
    </row>
    <row r="786">
      <c r="A786" s="3" t="inlineStr">
        <is>
          <t>KAF 50C LED/WH</t>
        </is>
      </c>
      <c r="B786" s="2" t="inlineStr">
        <is>
          <t>LED svetelný záves, cencúľ</t>
        </is>
      </c>
      <c r="C786" s="1" t="n">
        <v>13.99</v>
      </c>
      <c r="D786" s="7" t="n">
        <f>HYPERLINK("https://www.somogyi.sk/product/led-svetelny-zaves-cencul-kaf-50c-led-wh-16147","https://www.somogyi.sk/product/led-svetelny-zaves-cencul-kaf-50c-led-wh-16147")</f>
        <v>0.0</v>
      </c>
      <c r="E786" s="7" t="n">
        <f>HYPERLINK("https://www.somogyi.sk/productimages/product_main_images/small/16147.jpg","https://www.somogyi.sk/productimages/product_main_images/small/16147.jpg")</f>
        <v>0.0</v>
      </c>
      <c r="F786" s="2" t="inlineStr">
        <is>
          <t>5999084941796</t>
        </is>
      </c>
      <c r="G786" s="4" t="inlineStr">
        <is>
          <t xml:space="preserve"> • umiestnenie: na vnútorné použitie 
 • zdroj svetla: LED 
 • počet zdrojov svetla: 50 ks 
 • farba zdrojov svetla: studená biela 
 • farba kábla: biela 
 • napájanie: 230~ (adaptér) 
 • ďalšie informácie: 5/4/5/6/5/4/5/6/4/6 reťazce</t>
        </is>
      </c>
    </row>
    <row r="787">
      <c r="A787" s="3" t="inlineStr">
        <is>
          <t>KAF 600L 10M</t>
        </is>
      </c>
      <c r="B787" s="2" t="inlineStr">
        <is>
          <t>LED svetelný záves s cencúľmi, blikajúci, 10m, IP44, 230V</t>
        </is>
      </c>
      <c r="C787" s="1" t="n">
        <v>74.99</v>
      </c>
      <c r="D787" s="7" t="n">
        <f>HYPERLINK("https://www.somogyi.sk/product/led-svetelny-zaves-s-cenculmi-blikajuci-10m-ip44-230v-kaf-600l-10m-13982","https://www.somogyi.sk/product/led-svetelny-zaves-s-cenculmi-blikajuci-10m-ip44-230v-kaf-600l-10m-13982")</f>
        <v>0.0</v>
      </c>
      <c r="E787" s="7" t="n">
        <f>HYPERLINK("https://www.somogyi.sk/productimages/product_main_images/small/13982.jpg","https://www.somogyi.sk/productimages/product_main_images/small/13982.jpg")</f>
        <v>0.0</v>
      </c>
      <c r="F787" s="2" t="inlineStr">
        <is>
          <t>5999084920340</t>
        </is>
      </c>
      <c r="G787" s="4" t="inlineStr">
        <is>
          <t xml:space="preserve"> • umiestnenie: vonkajšie / vnútorné použitie 
 • zdroj svetla: LED 
 • počet zdrojov svetla: 600 ks 
 • farba zdrojov svetla: teplá biela 
 • funkcie: v každom druhom reťazci bliká jedna studená biela LED 
 • farba kábla: biela 
 • dĺžka: 10 m 
 • napájanie: 230 V~ (adaptérové) 
 • ďalšie informácie: -</t>
        </is>
      </c>
    </row>
    <row r="788">
      <c r="A788" s="6" t="inlineStr">
        <is>
          <t xml:space="preserve">   Vianočné dekoračné osvetlenie / Svetelný záves s dekoráciou</t>
        </is>
      </c>
      <c r="B788" s="6" t="inlineStr">
        <is>
          <t/>
        </is>
      </c>
      <c r="C788" s="6" t="inlineStr">
        <is>
          <t/>
        </is>
      </c>
      <c r="D788" s="6" t="inlineStr">
        <is>
          <t/>
        </is>
      </c>
      <c r="E788" s="6" t="inlineStr">
        <is>
          <t/>
        </is>
      </c>
      <c r="F788" s="6" t="inlineStr">
        <is>
          <t/>
        </is>
      </c>
      <c r="G788" s="6" t="inlineStr">
        <is>
          <t/>
        </is>
      </c>
    </row>
    <row r="789">
      <c r="A789" s="3" t="inlineStr">
        <is>
          <t>KAF 8/F</t>
        </is>
      </c>
      <c r="B789" s="2" t="inlineStr">
        <is>
          <t>LED svetelný záves, snehová vločka</t>
        </is>
      </c>
      <c r="C789" s="1" t="n">
        <v>19.99</v>
      </c>
      <c r="D789" s="7" t="n">
        <f>HYPERLINK("https://www.somogyi.sk/product/led-svetelny-zaves-snehova-vlocka-kaf-8-f-16021","https://www.somogyi.sk/product/led-svetelny-zaves-snehova-vlocka-kaf-8-f-16021")</f>
        <v>0.0</v>
      </c>
      <c r="E789" s="7" t="n">
        <f>HYPERLINK("https://www.somogyi.sk/productimages/product_main_images/small/16021.jpg","https://www.somogyi.sk/productimages/product_main_images/small/16021.jpg")</f>
        <v>0.0</v>
      </c>
      <c r="F789" s="2" t="inlineStr">
        <is>
          <t>5999084940539</t>
        </is>
      </c>
      <c r="G789" s="4" t="inlineStr">
        <is>
          <t xml:space="preserve"> • umiestnenie: na vonkajšie / vnútorné použitie 
 • zdroj svetla: LED 
 • počet zdrojov svetla: 8 ks 
 • farba kábla: transparentný 
 • dĺžka: 0,94 kg 
 • napájanie: 230 V~ (adaptér)</t>
        </is>
      </c>
    </row>
    <row r="790">
      <c r="A790" s="3" t="inlineStr">
        <is>
          <t>KAF 11/WH</t>
        </is>
      </c>
      <c r="B790" s="2" t="inlineStr">
        <is>
          <t>Micro LED svietiaci záves, 10 figúrok, studená biela LED</t>
        </is>
      </c>
      <c r="C790" s="1" t="n">
        <v>44.99</v>
      </c>
      <c r="D790" s="7" t="n">
        <f>HYPERLINK("https://www.somogyi.sk/product/micro-led-svietiaci-zaves-10-figurok-studena-biela-led-kaf-11-wh-17749","https://www.somogyi.sk/product/micro-led-svietiaci-zaves-10-figurok-studena-biela-led-kaf-11-wh-17749")</f>
        <v>0.0</v>
      </c>
      <c r="E790" s="7" t="n">
        <f>HYPERLINK("https://www.somogyi.sk/productimages/product_main_images/small/17749.jpg","https://www.somogyi.sk/productimages/product_main_images/small/17749.jpg")</f>
        <v>0.0</v>
      </c>
      <c r="F790" s="2" t="inlineStr">
        <is>
          <t>5999084957711</t>
        </is>
      </c>
      <c r="G790" s="4" t="inlineStr">
        <is>
          <t xml:space="preserve"> • umiestnenie: na vonkajšie / vnútorné použitie 
 • zdroj svetla: micro LED 
 • počet zdrojov svetla: 186 ks 
 • farba zdrojov svetla: studená biela 
 • farba kábla: priesvitný 
 • dĺžka: svetelný záves: 2 m • napájací kábel: 5 m 
 • napájanie: IP44 sieťový adaptér na vonkajšie použitie 
 • ďalšie informácie: 10 ks svietiacich reťazcov, zvonček/stromček/hviezda</t>
        </is>
      </c>
    </row>
    <row r="791">
      <c r="A791" s="3" t="inlineStr">
        <is>
          <t>KAF 50L/WW</t>
        </is>
      </c>
      <c r="B791" s="2" t="inlineStr">
        <is>
          <t>LED svietiaci záves hviezda</t>
        </is>
      </c>
      <c r="C791" s="1" t="n">
        <v>25.99</v>
      </c>
      <c r="D791" s="7" t="n">
        <f>HYPERLINK("https://www.somogyi.sk/product/led-svietiaci-zaves-hviezda-kaf-50l-ww-17320","https://www.somogyi.sk/product/led-svietiaci-zaves-hviezda-kaf-50l-ww-17320")</f>
        <v>0.0</v>
      </c>
      <c r="E791" s="7" t="n">
        <f>HYPERLINK("https://www.somogyi.sk/productimages/product_main_images/small/17320.jpg","https://www.somogyi.sk/productimages/product_main_images/small/17320.jpg")</f>
        <v>0.0</v>
      </c>
      <c r="F791" s="2" t="inlineStr">
        <is>
          <t>5999084953423</t>
        </is>
      </c>
      <c r="G791" s="4" t="inlineStr">
        <is>
          <t xml:space="preserve"> • umiestnenie: na vnútorné použitie 
 • zdroj svetla: LED 
 • počet zdrojov svetla: 50 ks 
 • farba zdrojov svetla: teplá biela 
 • farba kábla: biela farba 
 • dĺžka: 1,35 m 
 • napájanie: 230 V~ (adaptérový)</t>
        </is>
      </c>
    </row>
    <row r="792">
      <c r="A792" s="3" t="inlineStr">
        <is>
          <t>KAF 50L</t>
        </is>
      </c>
      <c r="B792" s="2" t="inlineStr">
        <is>
          <t>LED svetelný záves, hviezda 1,35m, 230V</t>
        </is>
      </c>
      <c r="C792" s="1" t="n">
        <v>25.99</v>
      </c>
      <c r="D792" s="7" t="n">
        <f>HYPERLINK("https://www.somogyi.sk/product/led-svetelny-zaves-hviezda-1-35m-230v-kaf-50l-11909","https://www.somogyi.sk/product/led-svetelny-zaves-hviezda-1-35m-230v-kaf-50l-11909")</f>
        <v>0.0</v>
      </c>
      <c r="E792" s="7" t="n">
        <f>HYPERLINK("https://www.somogyi.sk/productimages/product_main_images/small/11909.jpg","https://www.somogyi.sk/productimages/product_main_images/small/11909.jpg")</f>
        <v>0.0</v>
      </c>
      <c r="F792" s="2" t="inlineStr">
        <is>
          <t>5999084901219</t>
        </is>
      </c>
      <c r="G792" s="4" t="inlineStr">
        <is>
          <t xml:space="preserve"> • umiestnenie: vnútorné použitie 
 • zdroj svetla: LED 
 • počet zdrojov svetla: 50 ks 
 • farba zdrojov svetla: studená biela 
 • funkcie: v každom reťazci bliká spodná hviezda 
 • farba kábla: biela 
 • dĺžka: 1,35 m 
 • napájanie: 230 V~ (adaptérové)</t>
        </is>
      </c>
    </row>
    <row r="793">
      <c r="A793" s="3" t="inlineStr">
        <is>
          <t>KAF 48L</t>
        </is>
      </c>
      <c r="B793" s="2" t="inlineStr">
        <is>
          <t>LED svetelný záves, hviezda 1,5x1m, 230V</t>
        </is>
      </c>
      <c r="C793" s="1" t="n">
        <v>23.99</v>
      </c>
      <c r="D793" s="7" t="n">
        <f>HYPERLINK("https://www.somogyi.sk/product/led-svetelny-zaves-hviezda-1-5x1m-230v-kaf-48l-9851","https://www.somogyi.sk/product/led-svetelny-zaves-hviezda-1-5x1m-230v-kaf-48l-9851")</f>
        <v>0.0</v>
      </c>
      <c r="E793" s="7" t="n">
        <f>HYPERLINK("https://www.somogyi.sk/productimages/product_main_images/small/09851.jpg","https://www.somogyi.sk/productimages/product_main_images/small/09851.jpg")</f>
        <v>0.0</v>
      </c>
      <c r="F793" s="2" t="inlineStr">
        <is>
          <t>5998312785737</t>
        </is>
      </c>
      <c r="G793" s="4" t="inlineStr">
        <is>
          <t xml:space="preserve"> • umiestnenie: vnútorné použitie 
 • zdroj svetla: LED 
 • počet zdrojov svetla: 48 ks 
 • farba zdrojov svetla: studená biela 
 • funkcie: - 
 • farba kábla: priesvitná 
 • dĺžka: 1,5 m 
 • napájanie: 230 V~ (adaptérové) 
 • ďalšie informácie: 5 cm-ové hviezdy</t>
        </is>
      </c>
    </row>
    <row r="794">
      <c r="A794" s="3" t="inlineStr">
        <is>
          <t>KAF 11/WW</t>
        </is>
      </c>
      <c r="B794" s="2" t="inlineStr">
        <is>
          <t>Micro LED svietiaci záves, 10 figúr, teplé biele LED</t>
        </is>
      </c>
      <c r="C794" s="1" t="n">
        <v>44.99</v>
      </c>
      <c r="D794" s="7" t="n">
        <f>HYPERLINK("https://www.somogyi.sk/product/micro-led-svietiaci-zaves-10-figur-teple-biele-led-kaf-11-ww-17545","https://www.somogyi.sk/product/micro-led-svietiaci-zaves-10-figur-teple-biele-led-kaf-11-ww-17545")</f>
        <v>0.0</v>
      </c>
      <c r="E794" s="7" t="n">
        <f>HYPERLINK("https://www.somogyi.sk/productimages/product_main_images/small/17545.jpg","https://www.somogyi.sk/productimages/product_main_images/small/17545.jpg")</f>
        <v>0.0</v>
      </c>
      <c r="F794" s="2" t="inlineStr">
        <is>
          <t>5999084955670</t>
        </is>
      </c>
      <c r="G794" s="4" t="inlineStr">
        <is>
          <t xml:space="preserve"> • umiestnenie: na vonkajšie / vnútorné použitie 
 • zdroj svetla: LED 
 • počet zdrojov svetla: 186 ks 
 • farba zdrojov svetla: teplá biela 
 • farba kábla: priesvitný 
 • dĺžka: svetelný záves: 2 m • napájací kábel: 5 m 
 • napájanie: IP44 sieťový adaptér na vonkajšie použitie (je príslušenstvom) 
 • ďalšie informácie: 10 ks svietiacich reťazcov, zvonček/stromček/hviezda</t>
        </is>
      </c>
    </row>
    <row r="795">
      <c r="A795" s="6" t="inlineStr">
        <is>
          <t xml:space="preserve">   Vianočné dekoračné osvetlenie / Sieť</t>
        </is>
      </c>
      <c r="B795" s="6" t="inlineStr">
        <is>
          <t/>
        </is>
      </c>
      <c r="C795" s="6" t="inlineStr">
        <is>
          <t/>
        </is>
      </c>
      <c r="D795" s="6" t="inlineStr">
        <is>
          <t/>
        </is>
      </c>
      <c r="E795" s="6" t="inlineStr">
        <is>
          <t/>
        </is>
      </c>
      <c r="F795" s="6" t="inlineStr">
        <is>
          <t/>
        </is>
      </c>
      <c r="G795" s="6" t="inlineStr">
        <is>
          <t/>
        </is>
      </c>
    </row>
    <row r="796">
      <c r="A796" s="3" t="inlineStr">
        <is>
          <t>KLN 400C/WH</t>
        </is>
      </c>
      <c r="B796" s="2" t="inlineStr">
        <is>
          <t>LED svietiaca sieť</t>
        </is>
      </c>
      <c r="C796" s="1" t="n">
        <v>106.9</v>
      </c>
      <c r="D796" s="7" t="n">
        <f>HYPERLINK("https://www.somogyi.sk/product/led-svietiaca-siet-kln-400c-wh-15588","https://www.somogyi.sk/product/led-svietiaca-siet-kln-400c-wh-15588")</f>
        <v>0.0</v>
      </c>
      <c r="E796" s="7" t="n">
        <f>HYPERLINK("https://www.somogyi.sk/productimages/product_main_images/small/15588.jpg","https://www.somogyi.sk/productimages/product_main_images/small/15588.jpg")</f>
        <v>0.0</v>
      </c>
      <c r="F796" s="2" t="inlineStr">
        <is>
          <t>5999084936228</t>
        </is>
      </c>
      <c r="G796" s="4" t="inlineStr">
        <is>
          <t xml:space="preserve"> • umiestnenie: na vonkajšie / vnútorné použitie 
 • zdroj svetla: LED 
 • počet zdrojov svetla: 400 ks 
 • farba zdrojov svetla: studená biela 
 • farba kábla: zelená 
 • rozmery: 6 m x 4 m 
 • napájanie: 230 V~ (adaptér) 
 • ďalšie informácie: balenie: plastový kufrík</t>
        </is>
      </c>
    </row>
    <row r="797">
      <c r="A797" s="3" t="inlineStr">
        <is>
          <t>KLN 400C/WW</t>
        </is>
      </c>
      <c r="B797" s="2" t="inlineStr">
        <is>
          <t>LED svietiaca sieť</t>
        </is>
      </c>
      <c r="C797" s="1" t="n">
        <v>106.9</v>
      </c>
      <c r="D797" s="7" t="n">
        <f>HYPERLINK("https://www.somogyi.sk/product/led-svietiaca-siet-kln-400c-ww-15589","https://www.somogyi.sk/product/led-svietiaca-siet-kln-400c-ww-15589")</f>
        <v>0.0</v>
      </c>
      <c r="E797" s="7" t="n">
        <f>HYPERLINK("https://www.somogyi.sk/productimages/product_main_images/small/15589.jpg","https://www.somogyi.sk/productimages/product_main_images/small/15589.jpg")</f>
        <v>0.0</v>
      </c>
      <c r="F797" s="2" t="inlineStr">
        <is>
          <t>5999084936235</t>
        </is>
      </c>
      <c r="G797" s="4" t="inlineStr">
        <is>
          <t xml:space="preserve"> • umiestnenie: na vonkajšie / vnútorné použitie 
 • zdroj svetla: LED 
 • počet zdrojov svetla: 400 ks 
 • farba zdrojov svetla: teplá biela 
 • farba kábla: zelená 
 • rozmery: 6 m x 4 m 
 • napájanie: 230 V~ (adaptér) 
 • ďalšie informácie: balenie: plastový kufrík</t>
        </is>
      </c>
    </row>
    <row r="798">
      <c r="A798" s="3" t="inlineStr">
        <is>
          <t>KLN 240C/WW</t>
        </is>
      </c>
      <c r="B798" s="2" t="inlineStr">
        <is>
          <t>Svietiaca sieť,  3 x3 m</t>
        </is>
      </c>
      <c r="C798" s="1" t="n">
        <v>50.99</v>
      </c>
      <c r="D798" s="7" t="n">
        <f>HYPERLINK("https://www.somogyi.sk/product/svietiaca-siet-3-x3-m-kln-240c-ww-17747","https://www.somogyi.sk/product/svietiaca-siet-3-x3-m-kln-240c-ww-17747")</f>
        <v>0.0</v>
      </c>
      <c r="E798" s="7" t="n">
        <f>HYPERLINK("https://www.somogyi.sk/productimages/product_main_images/small/17747.jpg","https://www.somogyi.sk/productimages/product_main_images/small/17747.jpg")</f>
        <v>0.0</v>
      </c>
      <c r="F798" s="2" t="inlineStr">
        <is>
          <t>5999084957698</t>
        </is>
      </c>
      <c r="G798" s="4" t="inlineStr">
        <is>
          <t xml:space="preserve"> • umiestnenie: na vonkajšie / vnútorné použitie 
 • zdroj svetla: LED 
 • počet zdrojov svetla: 240 ks 
 • farba zdrojov svetla: teplá biela 
 • farba kábla: zelená 
 • napájanie: 230 V~ / 50 Hz (adaptér)</t>
        </is>
      </c>
    </row>
    <row r="799">
      <c r="A799" s="3" t="inlineStr">
        <is>
          <t>KLN 240C/WH</t>
        </is>
      </c>
      <c r="B799" s="2" t="inlineStr">
        <is>
          <t>LED svietiaca sieť</t>
        </is>
      </c>
      <c r="C799" s="1" t="n">
        <v>50.99</v>
      </c>
      <c r="D799" s="7" t="n">
        <f>HYPERLINK("https://www.somogyi.sk/product/led-svietiaca-siet-kln-240c-wh-15587","https://www.somogyi.sk/product/led-svietiaca-siet-kln-240c-wh-15587")</f>
        <v>0.0</v>
      </c>
      <c r="E799" s="7" t="n">
        <f>HYPERLINK("https://www.somogyi.sk/productimages/product_main_images/small/15587.jpg","https://www.somogyi.sk/productimages/product_main_images/small/15587.jpg")</f>
        <v>0.0</v>
      </c>
      <c r="F799" s="2" t="inlineStr">
        <is>
          <t>5999084936211</t>
        </is>
      </c>
      <c r="G799" s="4" t="inlineStr">
        <is>
          <t xml:space="preserve"> • umiestnenie: na vonkajšie / vnútorné použitie 
 • zdroj svetla: LED 
 • počet zdrojov svetla: 240 ks 
 • farba zdrojov svetla: studená biela 
 • farba kábla: zelená 
 • rozmery: 3 m x 3 m 
 • napájanie: 230 V~ (adaptér) 
 • ďalšie informácie: balenie: plastový kufrík</t>
        </is>
      </c>
    </row>
    <row r="800">
      <c r="A800" s="3" t="inlineStr">
        <is>
          <t>KLN 160C/WH</t>
        </is>
      </c>
      <c r="B800" s="2" t="inlineStr">
        <is>
          <t>LED sieť na vonkajšie použitie</t>
        </is>
      </c>
      <c r="C800" s="1" t="n">
        <v>33.99</v>
      </c>
      <c r="D800" s="7" t="n">
        <f>HYPERLINK("https://www.somogyi.sk/product/led-siet-na-vonkajsie-pouzitie-kln-160c-wh-16089","https://www.somogyi.sk/product/led-siet-na-vonkajsie-pouzitie-kln-160c-wh-16089")</f>
        <v>0.0</v>
      </c>
      <c r="E800" s="7" t="n">
        <f>HYPERLINK("https://www.somogyi.sk/productimages/product_main_images/small/16089.jpg","https://www.somogyi.sk/productimages/product_main_images/small/16089.jpg")</f>
        <v>0.0</v>
      </c>
      <c r="F800" s="2" t="inlineStr">
        <is>
          <t>5999084941215</t>
        </is>
      </c>
      <c r="G800" s="4" t="inlineStr">
        <is>
          <t xml:space="preserve"> • umiestnenie: vonkajší / vnútorný 
 • zdroj svetla: LED 
 • počet zdrojov svetla: 160 ks 
 • farba zdrojov svetla: studená biela 
 • farba kábla: zelený 
 • rozmery: 2 m x 1,5 m 
 • napájanie: 230 V~ (adaptér) 
 • ďalšie informácie: balenie: plastový kufrík</t>
        </is>
      </c>
    </row>
    <row r="801">
      <c r="A801" s="3" t="inlineStr">
        <is>
          <t>KLN 160C/WW</t>
        </is>
      </c>
      <c r="B801" s="2" t="inlineStr">
        <is>
          <t>LED svietiaca sieť, na vonkajšie použitie</t>
        </is>
      </c>
      <c r="C801" s="1" t="n">
        <v>33.99</v>
      </c>
      <c r="D801" s="7" t="n">
        <f>HYPERLINK("https://www.somogyi.sk/product/led-svietiaca-siet-na-vonkajsie-pouzitie-kln-160c-ww-15586","https://www.somogyi.sk/product/led-svietiaca-siet-na-vonkajsie-pouzitie-kln-160c-ww-15586")</f>
        <v>0.0</v>
      </c>
      <c r="E801" s="7" t="n">
        <f>HYPERLINK("https://www.somogyi.sk/productimages/product_main_images/small/15586.jpg","https://www.somogyi.sk/productimages/product_main_images/small/15586.jpg")</f>
        <v>0.0</v>
      </c>
      <c r="F801" s="2" t="inlineStr">
        <is>
          <t>5999084936204</t>
        </is>
      </c>
      <c r="G801" s="4" t="inlineStr">
        <is>
          <t xml:space="preserve"> • umiestnenie: na vonkajšie / vnútorné použitie 
 • zdroj svetla: LED 
 • počet zdrojov svetla: 160 ks 
 • farba zdrojov svetla: teplá biela 
 • farba kábla: zelená 
 • rozmery: 2 m x 1,5 m 
 • napájanie: 230 V~ (adaptér) 
 • ďalšie informácie: balenie: plastový kufrík</t>
        </is>
      </c>
    </row>
    <row r="802">
      <c r="A802" s="6" t="inlineStr">
        <is>
          <t xml:space="preserve">   Vianočné dekoračné osvetlenie / Spojovateľné reťazce</t>
        </is>
      </c>
      <c r="B802" s="6" t="inlineStr">
        <is>
          <t/>
        </is>
      </c>
      <c r="C802" s="6" t="inlineStr">
        <is>
          <t/>
        </is>
      </c>
      <c r="D802" s="6" t="inlineStr">
        <is>
          <t/>
        </is>
      </c>
      <c r="E802" s="6" t="inlineStr">
        <is>
          <t/>
        </is>
      </c>
      <c r="F802" s="6" t="inlineStr">
        <is>
          <t/>
        </is>
      </c>
      <c r="G802" s="6" t="inlineStr">
        <is>
          <t/>
        </is>
      </c>
    </row>
    <row r="803">
      <c r="A803" s="3" t="inlineStr">
        <is>
          <t>KSI 100/WH</t>
        </is>
      </c>
      <c r="B803" s="2" t="inlineStr">
        <is>
          <t>Spojovateľný svietiaci reťazec, 100 LED, biela, na vonkajšie použitie</t>
        </is>
      </c>
      <c r="C803" s="1" t="n">
        <v>35.99</v>
      </c>
      <c r="D803" s="7" t="n">
        <f>HYPERLINK("https://www.somogyi.sk/product/spojovatelny-svietiaci-retazec-100-led-biela-na-vonkajsie-pouzitie-ksi-100-wh-16471","https://www.somogyi.sk/product/spojovatelny-svietiaci-retazec-100-led-biela-na-vonkajsie-pouzitie-ksi-100-wh-16471")</f>
        <v>0.0</v>
      </c>
      <c r="E803" s="7" t="n">
        <f>HYPERLINK("https://www.somogyi.sk/productimages/product_main_images/small/16471.jpg","https://www.somogyi.sk/productimages/product_main_images/small/16471.jpg")</f>
        <v>0.0</v>
      </c>
      <c r="F803" s="2" t="inlineStr">
        <is>
          <t>5999084945039</t>
        </is>
      </c>
      <c r="G803" s="4" t="inlineStr">
        <is>
          <t xml:space="preserve"> • na vonkajšie a vnútorné použitie 
 • 100 ks bielych LED, studený odtieň 
 • spojovateľný s výrobkami typu KSI, KSF, KSH, ktoré distribuuje spoločnosť Somogyi Elektronic 
 • príslušenstvo, ktoré možno samostatne dokúpiť: KTT, KTT 5, KSH 5, KSH 2 
 • napájanie: 230 V~</t>
        </is>
      </c>
    </row>
    <row r="804">
      <c r="A804" s="3" t="inlineStr">
        <is>
          <t>KSF 204/WW</t>
        </is>
      </c>
      <c r="B804" s="2" t="inlineStr">
        <is>
          <t>Spojovateľný svetelný záves, 204 LED, teplá biela, na vonkajšie použitie</t>
        </is>
      </c>
      <c r="C804" s="1" t="n">
        <v>57.99</v>
      </c>
      <c r="D804" s="7" t="n">
        <f>HYPERLINK("https://www.somogyi.sk/product/spojovatelny-svetelny-zaves-204-led-tepla-biela-na-vonkajsie-pouzitie-ksf-204-ww-16479","https://www.somogyi.sk/product/spojovatelny-svetelny-zaves-204-led-tepla-biela-na-vonkajsie-pouzitie-ksf-204-ww-16479")</f>
        <v>0.0</v>
      </c>
      <c r="E804" s="7" t="n">
        <f>HYPERLINK("https://www.somogyi.sk/productimages/product_main_images/small/16479.jpg","https://www.somogyi.sk/productimages/product_main_images/small/16479.jpg")</f>
        <v>0.0</v>
      </c>
      <c r="F804" s="2" t="inlineStr">
        <is>
          <t>5999084945114</t>
        </is>
      </c>
      <c r="G804" s="4" t="inlineStr">
        <is>
          <t xml:space="preserve"> • umiestnenie: na vonkajšie / vnútorné použitie 
 • zdroj svetla: LED 
 • počet zdrojov svetla: 204 ks 
 • farba zdrojov svetla: teplá biela 
 • farba kábla: čierna 
 • dĺžka: 2 x 2 m 
 • kompatibilita: s výrobkami KSF, KSI, KSH, KTH KTT 
 • napájanie: 230 V~ 
 • ďalšie informácie: S jedným sieťovým pripojením sa dá pripojiť max. 1500 ks LED! 
 • Na sieťové pripojenie je potrebné dokúpiť KSH 5 alebo KSH 2!</t>
        </is>
      </c>
    </row>
    <row r="805">
      <c r="A805" s="3" t="inlineStr">
        <is>
          <t>KSH 5</t>
        </is>
      </c>
      <c r="B805" s="2" t="inlineStr">
        <is>
          <t>Sieťový napájací kábel, 5 m</t>
        </is>
      </c>
      <c r="C805" s="1" t="n">
        <v>11.49</v>
      </c>
      <c r="D805" s="7" t="n">
        <f>HYPERLINK("https://www.somogyi.sk/product/sietovy-napajaci-kabel-5-m-ksh-5-16472","https://www.somogyi.sk/product/sietovy-napajaci-kabel-5-m-ksh-5-16472")</f>
        <v>0.0</v>
      </c>
      <c r="E805" s="7" t="n">
        <f>HYPERLINK("https://www.somogyi.sk/productimages/product_main_images/small/16472.jpg","https://www.somogyi.sk/productimages/product_main_images/small/16472.jpg")</f>
        <v>0.0</v>
      </c>
      <c r="F805" s="2" t="inlineStr">
        <is>
          <t>5999084945046</t>
        </is>
      </c>
      <c r="G805" s="4" t="inlineStr">
        <is>
          <t xml:space="preserve"> • umiestnenie: na vonkajšie / vnútorné použitie 
 • farba kábla: čierna 
 • dĺžka: 5 m 
 • kompatibilita: s výrobkami KSF, KSI, KSH, KTF,KTI, KTH KTT 
 • ďalšie informácie: S jedným sieťovým káblom sa dá pripojiť max. 1500 ks LED!</t>
        </is>
      </c>
    </row>
    <row r="806">
      <c r="A806" s="3" t="inlineStr">
        <is>
          <t>KTT 5</t>
        </is>
      </c>
      <c r="B806" s="2" t="inlineStr">
        <is>
          <t>Predlžovací kábel k výrobkom KTI/KTF/KTH, 5m, IP44</t>
        </is>
      </c>
      <c r="C806" s="1" t="n">
        <v>9.19</v>
      </c>
      <c r="D806" s="7" t="n">
        <f>HYPERLINK("https://www.somogyi.sk/product/predlzovaci-kabel-k-vyrobkom-kti-ktf-kth-5m-ip44-ktt-5-9022","https://www.somogyi.sk/product/predlzovaci-kabel-k-vyrobkom-kti-ktf-kth-5m-ip44-ktt-5-9022")</f>
        <v>0.0</v>
      </c>
      <c r="E806" s="7" t="n">
        <f>HYPERLINK("https://www.somogyi.sk/productimages/product_main_images/small/09022.jpg","https://www.somogyi.sk/productimages/product_main_images/small/09022.jpg")</f>
        <v>0.0</v>
      </c>
      <c r="F806" s="2" t="inlineStr">
        <is>
          <t>5998312779026</t>
        </is>
      </c>
      <c r="G806" s="4" t="inlineStr">
        <is>
          <t xml:space="preserve"> • umiestnenie: vonkajšie / vnútorné použitie 
 • zdroj svetla: - 
 • počet zdrojov svetla: - 
 • farba zdrojov svetla: - 
 • farba kábla: čierna 
 • dĺžka: 5 m 
 • kompatibilita: s výrobkami KSF, KSI, KSH, KTF,KTI, KTH KTT 
 • napájanie: - 
 • ďalšie informácie: -</t>
        </is>
      </c>
    </row>
    <row r="807">
      <c r="A807" s="3" t="inlineStr">
        <is>
          <t>KTT</t>
        </is>
      </c>
      <c r="B807" s="2" t="inlineStr">
        <is>
          <t>T-rozbočka k výrobkom  KTI/KTF/KTH, IP44</t>
        </is>
      </c>
      <c r="C807" s="1" t="n">
        <v>4.59</v>
      </c>
      <c r="D807" s="7" t="n">
        <f>HYPERLINK("https://www.somogyi.sk/product/t-rozbocka-k-vyrobkom-kti-ktf-kth-ip44-ktt-9021","https://www.somogyi.sk/product/t-rozbocka-k-vyrobkom-kti-ktf-kth-ip44-ktt-9021")</f>
        <v>0.0</v>
      </c>
      <c r="E807" s="7" t="n">
        <f>HYPERLINK("https://www.somogyi.sk/productimages/product_main_images/small/09021.jpg","https://www.somogyi.sk/productimages/product_main_images/small/09021.jpg")</f>
        <v>0.0</v>
      </c>
      <c r="F807" s="2" t="inlineStr">
        <is>
          <t>5998312779019</t>
        </is>
      </c>
      <c r="G807" s="4" t="inlineStr">
        <is>
          <t xml:space="preserve"> • umiestnenie: vonkajšie / vnútorné použitie 
 • zdroj svetla: - 
 • počet zdrojov svetla: - 
 • farba zdrojov svetla: - 
 • farba kábla: čierna 
 • dĺžka: - 
 • kompatibilita: s výrobkami KSF, KSI, KSH, KTF,KTI, KTH KTT 
 • napájanie: - 
 • ďalšie informácie: -</t>
        </is>
      </c>
    </row>
    <row r="808">
      <c r="A808" s="3" t="inlineStr">
        <is>
          <t>KSF 200/WW</t>
        </is>
      </c>
      <c r="B808" s="2" t="inlineStr">
        <is>
          <t>Spojovateľný svetelný záves, 200 LED, teplá biela, na vonkajšie použitie</t>
        </is>
      </c>
      <c r="C808" s="1" t="n">
        <v>73.99</v>
      </c>
      <c r="D808" s="7" t="n">
        <f>HYPERLINK("https://www.somogyi.sk/product/spojovatelny-svetelny-zaves-200-led-tepla-biela-na-vonkajsie-pouzitie-ksf-200-ww-16467","https://www.somogyi.sk/product/spojovatelny-svetelny-zaves-200-led-tepla-biela-na-vonkajsie-pouzitie-ksf-200-ww-16467")</f>
        <v>0.0</v>
      </c>
      <c r="E808" s="7" t="n">
        <f>HYPERLINK("https://www.somogyi.sk/productimages/product_main_images/small/16467.jpg","https://www.somogyi.sk/productimages/product_main_images/small/16467.jpg")</f>
        <v>0.0</v>
      </c>
      <c r="F808" s="2" t="inlineStr">
        <is>
          <t>5999084944995</t>
        </is>
      </c>
      <c r="G808" s="4" t="inlineStr">
        <is>
          <t xml:space="preserve"> • umiestnenie: na vonkajšie / vnútorné použitie 
 • zdroj svetla: LED 
 • počet zdrojov svetla: 200 ks 
 • farba zdrojov svetla: teplá biela 
 • farba kábla: čierna 
 • dĺžka: 4 m 
 • kompatibilita: s výrobkami KSF, KSI, KSH, KTH KTT 
 • napájanie: 230 V~ 
 • ďalšie informácie: S jedným sieťovým pripojením sa dá pripojiť max. 1500 ks LED! 
 • Na sieťové pripojenie je potrebné dokúpiť KSH 5 alebo KSH 2!</t>
        </is>
      </c>
    </row>
    <row r="809">
      <c r="A809" s="3" t="inlineStr">
        <is>
          <t>KSF 200/WH</t>
        </is>
      </c>
      <c r="B809" s="2" t="inlineStr">
        <is>
          <t>Spojovateľný svetelný záves, 200 LED, biela, na vonkajšie použitie</t>
        </is>
      </c>
      <c r="C809" s="1" t="n">
        <v>73.99</v>
      </c>
      <c r="D809" s="7" t="n">
        <f>HYPERLINK("https://www.somogyi.sk/product/spojovatelny-svetelny-zaves-200-led-biela-na-vonkajsie-pouzitie-ksf-200-wh-16466","https://www.somogyi.sk/product/spojovatelny-svetelny-zaves-200-led-biela-na-vonkajsie-pouzitie-ksf-200-wh-16466")</f>
        <v>0.0</v>
      </c>
      <c r="E809" s="7" t="n">
        <f>HYPERLINK("https://www.somogyi.sk/productimages/product_main_images/small/16466.jpg","https://www.somogyi.sk/productimages/product_main_images/small/16466.jpg")</f>
        <v>0.0</v>
      </c>
      <c r="F809" s="2" t="inlineStr">
        <is>
          <t>5999084944988</t>
        </is>
      </c>
      <c r="G809" s="4" t="inlineStr">
        <is>
          <t xml:space="preserve"> • umiestnenie: na vonkajšie / vnútorné použitie 
 • zdroj svetla: LED 
 • počet zdrojov svetla: 200 ks 
 • farba zdrojov svetla: studená biela 
 • farba kábla: čierna 
 • dĺžka: 4 m 
 • kompatibilita: s výrobkami KSF, KSI, KSH, KTH KTT 
 • napájanie: 230 V~ 
 • ďalšie informácie: S jedným sieťovým pripojením sa dá pripojiť max. 1500 ks LED! 
 • Na sieťové pripojenie je potrebné dokúpiť KSH 5 alebo KSH 2!</t>
        </is>
      </c>
    </row>
    <row r="810">
      <c r="A810" s="3" t="inlineStr">
        <is>
          <t>KSF 204/WH</t>
        </is>
      </c>
      <c r="B810" s="2" t="inlineStr">
        <is>
          <t>Spojovateľný svetelný záves, 204 LED, biela, na vonkajšie použitie</t>
        </is>
      </c>
      <c r="C810" s="1" t="n">
        <v>57.99</v>
      </c>
      <c r="D810" s="7" t="n">
        <f>HYPERLINK("https://www.somogyi.sk/product/spojovatelny-svetelny-zaves-204-led-biela-na-vonkajsie-pouzitie-ksf-204-wh-16478","https://www.somogyi.sk/product/spojovatelny-svetelny-zaves-204-led-biela-na-vonkajsie-pouzitie-ksf-204-wh-16478")</f>
        <v>0.0</v>
      </c>
      <c r="E810" s="7" t="n">
        <f>HYPERLINK("https://www.somogyi.sk/productimages/product_main_images/small/16478.jpg","https://www.somogyi.sk/productimages/product_main_images/small/16478.jpg")</f>
        <v>0.0</v>
      </c>
      <c r="F810" s="2" t="inlineStr">
        <is>
          <t>5999084945107</t>
        </is>
      </c>
      <c r="G810" s="4" t="inlineStr">
        <is>
          <t xml:space="preserve"> • umiestnenie: na vonkajšie / vnútorné použitie 
 • zdroj svetla: LED 
 • počet zdrojov svetla: 204 ks 
 • farba zdrojov svetla: studená biela 
 • farba kábla: čierna 
 • dĺžka: 2 x 2 m 
 • kompatibilita: s výrobkami KSF, KSI, KSH, KTH KTT 
 • napájanie: 230 V~ 
 • ďalšie informácie: S jedným sieťovým pripojením sa dá pripojiť max. 1500 ks LED! 
 • Na sieťové pripojenie je potrebné dokúpiť KSH 5 alebo KSH 2!</t>
        </is>
      </c>
    </row>
    <row r="811">
      <c r="A811" s="3" t="inlineStr">
        <is>
          <t>KSF 50F/WH</t>
        </is>
      </c>
      <c r="B811" s="2" t="inlineStr">
        <is>
          <t>Spojovateľný žiariaci svetelný záves, 50 LED, studená biela, na vonkajšie použitie</t>
        </is>
      </c>
      <c r="C811" s="1" t="n">
        <v>28.99</v>
      </c>
      <c r="D811" s="7" t="n">
        <f>HYPERLINK("https://www.somogyi.sk/product/spojovatelny-ziariaci-svetelny-zaves-50-led-studena-biela-na-vonkajsie-pouzitie-ksf-50f-wh-16477","https://www.somogyi.sk/product/spojovatelny-ziariaci-svetelny-zaves-50-led-studena-biela-na-vonkajsie-pouzitie-ksf-50f-wh-16477")</f>
        <v>0.0</v>
      </c>
      <c r="E811" s="7" t="n">
        <f>HYPERLINK("https://www.somogyi.sk/productimages/product_main_images/small/16477.jpg","https://www.somogyi.sk/productimages/product_main_images/small/16477.jpg")</f>
        <v>0.0</v>
      </c>
      <c r="F811" s="2" t="inlineStr">
        <is>
          <t>5999084945091</t>
        </is>
      </c>
      <c r="G811" s="4" t="inlineStr">
        <is>
          <t xml:space="preserve"> • umiestnenie: na vonkajšie / vnútorné použitie 
 • zdroj svetla: LED 
 • počet zdrojov svetla: 50 ks studených bielych LED, z ktorých 12 ks bliká 
 • farba zdrojov svetla: studená biela 
 • farba kábla: čierna 
 • dĺžka: 3 m 
 • kompatibilita: s výrobkami KSF, KSI, KSH, KTH KTT 
 • napájanie: 230 V~ 
 • ďalšie informácie: S jedným sieťovým pripojením sa dá pripojiť max. 1500 ks LED! 
 • Na sieťové pripojenie je potrebné dokúpiť KSH 5 alebo KSH 2!</t>
        </is>
      </c>
    </row>
    <row r="812">
      <c r="A812" s="3" t="inlineStr">
        <is>
          <t>KSF 50F/WW</t>
        </is>
      </c>
      <c r="B812" s="2" t="inlineStr">
        <is>
          <t>Spojovateľný žiariaci svetelný záves, 50 LED, teplá biela, na vonkajšie použitie</t>
        </is>
      </c>
      <c r="C812" s="1" t="n">
        <v>28.99</v>
      </c>
      <c r="D812" s="7" t="n">
        <f>HYPERLINK("https://www.somogyi.sk/product/spojovatelny-ziariaci-svetelny-zaves-50-led-tepla-biela-na-vonkajsie-pouzitie-ksf-50f-ww-16476","https://www.somogyi.sk/product/spojovatelny-ziariaci-svetelny-zaves-50-led-tepla-biela-na-vonkajsie-pouzitie-ksf-50f-ww-16476")</f>
        <v>0.0</v>
      </c>
      <c r="E812" s="7" t="n">
        <f>HYPERLINK("https://www.somogyi.sk/productimages/product_main_images/small/16476.jpg","https://www.somogyi.sk/productimages/product_main_images/small/16476.jpg")</f>
        <v>0.0</v>
      </c>
      <c r="F812" s="2" t="inlineStr">
        <is>
          <t>5999084945084</t>
        </is>
      </c>
      <c r="G812" s="4" t="inlineStr">
        <is>
          <t xml:space="preserve"> • umiestnenie: na vonkajšie / vnútorné použitie 
 • zdroj svetla: LED 
 • počet zdrojov svetla: 50 ks studených bielych LED, z ktorých 12 ks bliká 
 • farba zdrojov svetla: studená biela, teplá biela 
 • farba kábla: čierna 
 • dĺžka: 3 m 
 • kompatibilita: s výrobkami KSF, KSI, KSH, KTH KTT 
 • napájanie: 230 V~ 
 • ďalšie informácie: S jedným sieťovým pripojením sa dá pripojiť max. 1500 ks LED! 
 • Na sieťové pripojenie je potrebné dokúpiť KSH 5 alebo KSH 2!</t>
        </is>
      </c>
    </row>
    <row r="813">
      <c r="A813" s="6" t="inlineStr">
        <is>
          <t xml:space="preserve">   Vianočné dekoračné osvetlenie / Dekoračná rastlina</t>
        </is>
      </c>
      <c r="B813" s="6" t="inlineStr">
        <is>
          <t/>
        </is>
      </c>
      <c r="C813" s="6" t="inlineStr">
        <is>
          <t/>
        </is>
      </c>
      <c r="D813" s="6" t="inlineStr">
        <is>
          <t/>
        </is>
      </c>
      <c r="E813" s="6" t="inlineStr">
        <is>
          <t/>
        </is>
      </c>
      <c r="F813" s="6" t="inlineStr">
        <is>
          <t/>
        </is>
      </c>
      <c r="G813" s="6" t="inlineStr">
        <is>
          <t/>
        </is>
      </c>
    </row>
    <row r="814">
      <c r="A814" s="3" t="inlineStr">
        <is>
          <t>KMF 4/150</t>
        </is>
      </c>
      <c r="B814" s="2" t="inlineStr">
        <is>
          <t>Umelý vianočný stromček, 150 cm</t>
        </is>
      </c>
      <c r="C814" s="1" t="n">
        <v>207.9</v>
      </c>
      <c r="D814" s="7" t="n">
        <f>HYPERLINK("https://www.somogyi.sk/product/umely-vianocny-stromcek-150-cm-kmf-4-150-16080","https://www.somogyi.sk/product/umely-vianocny-stromcek-150-cm-kmf-4-150-16080")</f>
        <v>0.0</v>
      </c>
      <c r="E814" s="7" t="n">
        <f>HYPERLINK("https://www.somogyi.sk/productimages/product_main_images/small/16080.jpg","https://www.somogyi.sk/productimages/product_main_images/small/16080.jpg")</f>
        <v>0.0</v>
      </c>
      <c r="F814" s="2" t="inlineStr">
        <is>
          <t>5999084941123</t>
        </is>
      </c>
      <c r="G814" s="4" t="inlineStr">
        <is>
          <t xml:space="preserve"> • umiestnenie: na vnútorné použitie 
 • výška: 1,5 m 
 • ďalšie informácie: 3D 2D ihličie / 1584 vetvičiek / najväčší priemer 106 cm / kovový podstavec / materiál: PE   PVC</t>
        </is>
      </c>
    </row>
    <row r="815">
      <c r="A815" s="3" t="inlineStr">
        <is>
          <t>KMF 4/180</t>
        </is>
      </c>
      <c r="B815" s="2" t="inlineStr">
        <is>
          <t>Umelý vianočný stromček, 180 cm</t>
        </is>
      </c>
      <c r="C815" s="1" t="n">
        <v>305.9</v>
      </c>
      <c r="D815" s="7" t="n">
        <f>HYPERLINK("https://www.somogyi.sk/product/umely-vianocny-stromcek-180-cm-kmf-4-180-16081","https://www.somogyi.sk/product/umely-vianocny-stromcek-180-cm-kmf-4-180-16081")</f>
        <v>0.0</v>
      </c>
      <c r="E815" s="7" t="n">
        <f>HYPERLINK("https://www.somogyi.sk/productimages/product_main_images/small/16081.jpg","https://www.somogyi.sk/productimages/product_main_images/small/16081.jpg")</f>
        <v>0.0</v>
      </c>
      <c r="F815" s="2" t="inlineStr">
        <is>
          <t>5999084941130</t>
        </is>
      </c>
      <c r="G815" s="4" t="inlineStr">
        <is>
          <t xml:space="preserve"> • Umelý vianočný stromček 
 • 3D + 2D ihličie 
 • 180 cm výška / 2168 vetvičiek 
 • najširší priemer: 122 cm 
 • kovový stojan 
 • materiál: PE + PVC</t>
        </is>
      </c>
    </row>
    <row r="816">
      <c r="A816" s="3" t="inlineStr">
        <is>
          <t>KMF 6/180</t>
        </is>
      </c>
      <c r="B816" s="2" t="inlineStr">
        <is>
          <t>Umelý vianočný stromček s integrovaným LED osvetlením, 180 cm</t>
        </is>
      </c>
      <c r="C816" s="1" t="n">
        <v>253.9</v>
      </c>
      <c r="D816" s="7" t="n">
        <f>HYPERLINK("https://www.somogyi.sk/product/umely-vianocny-stromcek-s-integrovanym-led-osvetlenim-180-cm-kmf-6-180-16524","https://www.somogyi.sk/product/umely-vianocny-stromcek-s-integrovanym-led-osvetlenim-180-cm-kmf-6-180-16524")</f>
        <v>0.0</v>
      </c>
      <c r="E816" s="7" t="n">
        <f>HYPERLINK("https://www.somogyi.sk/productimages/product_main_images/small/16524.jpg","https://www.somogyi.sk/productimages/product_main_images/small/16524.jpg")</f>
        <v>0.0</v>
      </c>
      <c r="F816" s="2" t="inlineStr">
        <is>
          <t>5999084945565</t>
        </is>
      </c>
      <c r="G816" s="4" t="inlineStr">
        <is>
          <t xml:space="preserve"> • umiestnenie: na vnútorné použitie 
 • zdroj svetla: LED 
 • počet zdrojov svetla: 350 ks 
 • farba zdrojov svetla: dvojfarebná 
 • výška: 180 m 
 • napájanie: sieťový adaptér na vnútorné použitie 
 • ďalšie informácie: 3D   2D zmiešané ihličie</t>
        </is>
      </c>
    </row>
    <row r="817">
      <c r="A817" s="3" t="inlineStr">
        <is>
          <t>KMF 7/150</t>
        </is>
      </c>
      <c r="B817" s="2" t="inlineStr">
        <is>
          <t>Umelý vianočný stromček, so zabud. LED, 150 cm</t>
        </is>
      </c>
      <c r="C817" s="1" t="n">
        <v>91.99</v>
      </c>
      <c r="D817" s="7" t="n">
        <f>HYPERLINK("https://www.somogyi.sk/product/umely-vianocny-stromcek-so-zabud-led-150-cm-kmf-7-150-17509","https://www.somogyi.sk/product/umely-vianocny-stromcek-so-zabud-led-150-cm-kmf-7-150-17509")</f>
        <v>0.0</v>
      </c>
      <c r="E817" s="7" t="n">
        <f>HYPERLINK("https://www.somogyi.sk/productimages/product_main_images/small/17509.jpg","https://www.somogyi.sk/productimages/product_main_images/small/17509.jpg")</f>
        <v>0.0</v>
      </c>
      <c r="F817" s="2" t="inlineStr">
        <is>
          <t>5999084955311</t>
        </is>
      </c>
      <c r="G817" s="4" t="inlineStr">
        <is>
          <t xml:space="preserve"> • umiestnenie: na vnútorné použitie 
 • zdroj svetla: LED 
 • počet zdrojov svetla: 180 ks 
 • farba zdrojov svetla: teplá biela 
 • výška: 1,5 m 
 • napájanie: vnútorný sieťový adaptér</t>
        </is>
      </c>
    </row>
    <row r="818">
      <c r="A818" s="3" t="inlineStr">
        <is>
          <t>CBT 200</t>
        </is>
      </c>
      <c r="B818" s="2" t="inlineStr">
        <is>
          <t>LED dekorácia kvitnúca čerešňa, 1,5 m, 230V</t>
        </is>
      </c>
      <c r="C818" s="1" t="n">
        <v>82.99</v>
      </c>
      <c r="D818" s="7" t="n">
        <f>HYPERLINK("https://www.somogyi.sk/product/led-dekoracia-kvitnuca-ceresna-1-5-m-230v-cbt-200-13964","https://www.somogyi.sk/product/led-dekoracia-kvitnuca-ceresna-1-5-m-230v-cbt-200-13964")</f>
        <v>0.0</v>
      </c>
      <c r="E818" s="7" t="n">
        <f>HYPERLINK("https://www.somogyi.sk/productimages/product_main_images/small/13964.jpg","https://www.somogyi.sk/productimages/product_main_images/small/13964.jpg")</f>
        <v>0.0</v>
      </c>
      <c r="F818" s="2" t="inlineStr">
        <is>
          <t>5999084920166</t>
        </is>
      </c>
      <c r="G818" s="4" t="inlineStr">
        <is>
          <t xml:space="preserve"> • umiestnenie: vonkajšie / vnútorné použitie 
 • zdroj svetla: LED 
 • počet zdrojov svetla: 200 ks 
 • farba zdrojov svetla: teplá biela 
 • výška: 1,5 m 
 • napájanie: 230 V~ (adaptérové) 
 • ďalšie informácie: odskrutkovateľný kovový podstavec (Ø17 cm)</t>
        </is>
      </c>
    </row>
    <row r="819">
      <c r="A819" s="3" t="inlineStr">
        <is>
          <t>CBT 320</t>
        </is>
      </c>
      <c r="B819" s="2" t="inlineStr">
        <is>
          <t>LED dekorácia kvitnúca čerešňa, 2 m, 230V</t>
        </is>
      </c>
      <c r="C819" s="1" t="n">
        <v>108.9</v>
      </c>
      <c r="D819" s="7" t="n">
        <f>HYPERLINK("https://www.somogyi.sk/product/led-dekoracia-kvitnuca-ceresna-2-m-230v-cbt-320-11965","https://www.somogyi.sk/product/led-dekoracia-kvitnuca-ceresna-2-m-230v-cbt-320-11965")</f>
        <v>0.0</v>
      </c>
      <c r="E819" s="7" t="n">
        <f>HYPERLINK("https://www.somogyi.sk/productimages/product_main_images/small/11965.jpg","https://www.somogyi.sk/productimages/product_main_images/small/11965.jpg")</f>
        <v>0.0</v>
      </c>
      <c r="F819" s="2" t="inlineStr">
        <is>
          <t>5999084901776</t>
        </is>
      </c>
      <c r="G819" s="4" t="inlineStr">
        <is>
          <t xml:space="preserve"> • umiestnenie: vonkajšie / vnútorné použitie 
 • zdroj svetla: LED 
 • počet zdrojov svetla: 320 ks 
 • farba zdrojov svetla: teplá biela 
 • výška: 2 m 
 • napájanie: 230 V~ (adaptérové) 
 • ďalšie informácie: vetvy nastaviteľné podľa vlastného vkusu</t>
        </is>
      </c>
    </row>
    <row r="820">
      <c r="A820" s="3" t="inlineStr">
        <is>
          <t>KMF 6/150</t>
        </is>
      </c>
      <c r="B820" s="2" t="inlineStr">
        <is>
          <t>Umelý vianočný stromček s integrovaným LED osvetlením, 150 cm</t>
        </is>
      </c>
      <c r="C820" s="1" t="n">
        <v>198.9</v>
      </c>
      <c r="D820" s="7" t="n">
        <f>HYPERLINK("https://www.somogyi.sk/product/umely-vianocny-stromcek-s-integrovanym-led-osvetlenim-150-cm-kmf-6-150-16523","https://www.somogyi.sk/product/umely-vianocny-stromcek-s-integrovanym-led-osvetlenim-150-cm-kmf-6-150-16523")</f>
        <v>0.0</v>
      </c>
      <c r="E820" s="7" t="n">
        <f>HYPERLINK("https://www.somogyi.sk/productimages/product_main_images/small/16523.jpg","https://www.somogyi.sk/productimages/product_main_images/small/16523.jpg")</f>
        <v>0.0</v>
      </c>
      <c r="F820" s="2" t="inlineStr">
        <is>
          <t>5999084945558</t>
        </is>
      </c>
      <c r="G820" s="4" t="inlineStr">
        <is>
          <t xml:space="preserve"> • umiestnenie: na vnútorné použitie 
 • zdroj svetla: LED 
 • počet zdrojov svetla: 250 ks 
 • farba zdrojov svetla: dvojfarebná 
 • výška: 1,5 m 
 • napájanie: sieťový adaptér na vnútorné použitie 
 • ďalšie informácie: 3D   2D zmiešané ihličie</t>
        </is>
      </c>
    </row>
    <row r="821">
      <c r="A821" s="3" t="inlineStr">
        <is>
          <t>KMF 6/240</t>
        </is>
      </c>
      <c r="B821" s="2" t="inlineStr">
        <is>
          <t>Umelý vianočný stromček s integrovaným LED osvetlením, 240 cm</t>
        </is>
      </c>
      <c r="C821" s="1" t="n">
        <v>477.9</v>
      </c>
      <c r="D821" s="7" t="n">
        <f>HYPERLINK("https://www.somogyi.sk/product/umely-vianocny-stromcek-s-integrovanym-led-osvetlenim-240-cm-kmf-6-240-16526","https://www.somogyi.sk/product/umely-vianocny-stromcek-s-integrovanym-led-osvetlenim-240-cm-kmf-6-240-16526")</f>
        <v>0.0</v>
      </c>
      <c r="E821" s="7" t="n">
        <f>HYPERLINK("https://www.somogyi.sk/productimages/product_main_images/small/16526.jpg","https://www.somogyi.sk/productimages/product_main_images/small/16526.jpg")</f>
        <v>0.0</v>
      </c>
      <c r="F821" s="2" t="inlineStr">
        <is>
          <t>5999084945589</t>
        </is>
      </c>
      <c r="G821" s="4" t="inlineStr">
        <is>
          <t xml:space="preserve"> • umiestnenie: na vnútorné použitie 
 • zdroj svetla: LED 
 • počet zdrojov svetla: 650 ks 
 • farba zdrojov svetla: dvojfarebná 
 • výška: 2,4 m 
 • napájanie: sieťový adaptér na vnútorné použitie 
 • ďalšie informácie: 3D   2D zmiešané ihličie</t>
        </is>
      </c>
    </row>
    <row r="822">
      <c r="A822" s="3" t="inlineStr">
        <is>
          <t>KMF 4/210</t>
        </is>
      </c>
      <c r="B822" s="2" t="inlineStr">
        <is>
          <t>Umelý vianočný stromček, 210 cm</t>
        </is>
      </c>
      <c r="C822" s="1" t="n">
        <v>423.9</v>
      </c>
      <c r="D822" s="7" t="n">
        <f>HYPERLINK("https://www.somogyi.sk/product/umely-vianocny-stromcek-210-cm-kmf-4-210-16082","https://www.somogyi.sk/product/umely-vianocny-stromcek-210-cm-kmf-4-210-16082")</f>
        <v>0.0</v>
      </c>
      <c r="E822" s="7" t="n">
        <f>HYPERLINK("https://www.somogyi.sk/productimages/product_main_images/small/16082.jpg","https://www.somogyi.sk/productimages/product_main_images/small/16082.jpg")</f>
        <v>0.0</v>
      </c>
      <c r="F822" s="2" t="inlineStr">
        <is>
          <t>5999084941147</t>
        </is>
      </c>
      <c r="G822" s="4" t="inlineStr">
        <is>
          <t xml:space="preserve"> • Umelý vianočný stromček 
 • 3D + 2D ihličie 
 • 210 cm výška / 3068 vetvičiek 
 • najširší priemer: 142 cm 
 • kovový stojan 
 • materiál: PE + PVC</t>
        </is>
      </c>
    </row>
    <row r="823">
      <c r="A823" s="3" t="inlineStr">
        <is>
          <t>KMF 7/180</t>
        </is>
      </c>
      <c r="B823" s="2" t="inlineStr">
        <is>
          <t>Umelý vianočný stromček, so zabud. LED, 180 cm</t>
        </is>
      </c>
      <c r="C823" s="1" t="n">
        <v>115.9</v>
      </c>
      <c r="D823" s="7" t="n">
        <f>HYPERLINK("https://www.somogyi.sk/product/umely-vianocny-stromcek-so-zabud-led-180-cm-kmf-7-180-17510","https://www.somogyi.sk/product/umely-vianocny-stromcek-so-zabud-led-180-cm-kmf-7-180-17510")</f>
        <v>0.0</v>
      </c>
      <c r="E823" s="7" t="n">
        <f>HYPERLINK("https://www.somogyi.sk/productimages/product_main_images/small/17510.jpg","https://www.somogyi.sk/productimages/product_main_images/small/17510.jpg")</f>
        <v>0.0</v>
      </c>
      <c r="F823" s="2" t="inlineStr">
        <is>
          <t>5999084955328</t>
        </is>
      </c>
      <c r="G823" s="4" t="inlineStr">
        <is>
          <t xml:space="preserve"> • umiestnenie: na vnútorné použitie 
 • zdroj svetla: LED 
 • počet zdrojov svetla: 240 ks 
 • farba zdrojov svetla: teplá biela 
 • výška: 1,8 m 
 • napájanie: vnútorný sieťový adaptér</t>
        </is>
      </c>
    </row>
    <row r="824">
      <c r="A824" s="3" t="inlineStr">
        <is>
          <t>KMF 4/240</t>
        </is>
      </c>
      <c r="B824" s="2" t="inlineStr">
        <is>
          <t>Umelý vianočný stromček, 240 cm</t>
        </is>
      </c>
      <c r="C824" s="1" t="n">
        <v>592.9</v>
      </c>
      <c r="D824" s="7" t="n">
        <f>HYPERLINK("https://www.somogyi.sk/product/umely-vianocny-stromcek-240-cm-kmf-4-240-16083","https://www.somogyi.sk/product/umely-vianocny-stromcek-240-cm-kmf-4-240-16083")</f>
        <v>0.0</v>
      </c>
      <c r="E824" s="7" t="n">
        <f>HYPERLINK("https://www.somogyi.sk/productimages/product_main_images/small/16083.jpg","https://www.somogyi.sk/productimages/product_main_images/small/16083.jpg")</f>
        <v>0.0</v>
      </c>
      <c r="F824" s="2" t="inlineStr">
        <is>
          <t>5999084941154</t>
        </is>
      </c>
      <c r="G824" s="4" t="inlineStr">
        <is>
          <t xml:space="preserve"> • Umelý vianočný stromček 
 • 3D + 2D ihličie 
 • 240 cm výška / 4498 vetvičiek 
 • najširší priemer: 152 cm 
 • kovový stojan 
 • materiál: PE + PVC</t>
        </is>
      </c>
    </row>
    <row r="825">
      <c r="A825" s="3" t="inlineStr">
        <is>
          <t>KMF 6/210</t>
        </is>
      </c>
      <c r="B825" s="2" t="inlineStr">
        <is>
          <t>Umelý vianočný stromček s integrovaným LED osvetlením, 210 cm</t>
        </is>
      </c>
      <c r="C825" s="1" t="n">
        <v>356.9</v>
      </c>
      <c r="D825" s="7" t="n">
        <f>HYPERLINK("https://www.somogyi.sk/product/umely-vianocny-stromcek-s-integrovanym-led-osvetlenim-210-cm-kmf-6-210-16525","https://www.somogyi.sk/product/umely-vianocny-stromcek-s-integrovanym-led-osvetlenim-210-cm-kmf-6-210-16525")</f>
        <v>0.0</v>
      </c>
      <c r="E825" s="7" t="n">
        <f>HYPERLINK("https://www.somogyi.sk/productimages/product_main_images/small/16525.jpg","https://www.somogyi.sk/productimages/product_main_images/small/16525.jpg")</f>
        <v>0.0</v>
      </c>
      <c r="F825" s="2" t="inlineStr">
        <is>
          <t>5999084945572</t>
        </is>
      </c>
      <c r="G825" s="4" t="inlineStr">
        <is>
          <t xml:space="preserve"> • umiestnenie: na vnútorné použitie 
 • zdroj svetla: LED 
 • počet zdrojov svetla: 500 ks 
 • farba zdrojov svetla: dvojfarebná 
 • výška: 2,1 m 
 • napájanie: sieťový adaptér na vnútorné použitie 
 • ďalšie informácie: 3D   2D zmiešané ihličie</t>
        </is>
      </c>
    </row>
    <row r="826">
      <c r="A826" s="6" t="inlineStr">
        <is>
          <t xml:space="preserve">   Vianočné dekoračné osvetlenie / Dekorácia do okna</t>
        </is>
      </c>
      <c r="B826" s="6" t="inlineStr">
        <is>
          <t/>
        </is>
      </c>
      <c r="C826" s="6" t="inlineStr">
        <is>
          <t/>
        </is>
      </c>
      <c r="D826" s="6" t="inlineStr">
        <is>
          <t/>
        </is>
      </c>
      <c r="E826" s="6" t="inlineStr">
        <is>
          <t/>
        </is>
      </c>
      <c r="F826" s="6" t="inlineStr">
        <is>
          <t/>
        </is>
      </c>
      <c r="G826" s="6" t="inlineStr">
        <is>
          <t/>
        </is>
      </c>
    </row>
    <row r="827">
      <c r="A827" s="3" t="inlineStr">
        <is>
          <t>KID 503 B/M</t>
        </is>
      </c>
      <c r="B827" s="2" t="inlineStr">
        <is>
          <t>LED dekorácia do okna, hviezda</t>
        </is>
      </c>
      <c r="C827" s="1" t="n">
        <v>5.79</v>
      </c>
      <c r="D827" s="7" t="n">
        <f>HYPERLINK("https://www.somogyi.sk/product/led-dekoracia-do-okna-hviezda-kid-503-b-m-17333","https://www.somogyi.sk/product/led-dekoracia-do-okna-hviezda-kid-503-b-m-17333")</f>
        <v>0.0</v>
      </c>
      <c r="E827" s="7" t="n">
        <f>HYPERLINK("https://www.somogyi.sk/productimages/product_main_images/small/17333.jpg","https://www.somogyi.sk/productimages/product_main_images/small/17333.jpg")</f>
        <v>0.0</v>
      </c>
      <c r="F827" s="2" t="inlineStr">
        <is>
          <t>5999084953553</t>
        </is>
      </c>
      <c r="G827" s="4" t="inlineStr">
        <is>
          <t xml:space="preserve"> • umiestnenie: na vnútorné použitie 
 • zdroj svetla: LED 
 • počet zdrojov svetla: 35 ks 
 • farba zdrojov svetla: farebný 
 • rozmery: 33 cm x 33 cm 
 • napájanie: 3 x 1,5 V AA batéria (nie je príslušenstvom)</t>
        </is>
      </c>
    </row>
    <row r="828">
      <c r="A828" s="3" t="inlineStr">
        <is>
          <t>KLW 17 S</t>
        </is>
      </c>
      <c r="B828" s="2" t="inlineStr">
        <is>
          <t>Drevená dekorácia do okna, na dvere, hviezda</t>
        </is>
      </c>
      <c r="C828" s="1" t="n">
        <v>11.49</v>
      </c>
      <c r="D828" s="7" t="n">
        <f>HYPERLINK("https://www.somogyi.sk/product/drevena-dekoracia-do-okna-na-dvere-hviezda-klw-17-s-16971","https://www.somogyi.sk/product/drevena-dekoracia-do-okna-na-dvere-hviezda-klw-17-s-16971")</f>
        <v>0.0</v>
      </c>
      <c r="E828" s="7" t="n">
        <f>HYPERLINK("https://www.somogyi.sk/productimages/product_main_images/small/16971.jpg","https://www.somogyi.sk/productimages/product_main_images/small/16971.jpg")</f>
        <v>0.0</v>
      </c>
      <c r="F828" s="2" t="inlineStr">
        <is>
          <t>5999084950033</t>
        </is>
      </c>
      <c r="G828" s="4" t="inlineStr">
        <is>
          <t xml:space="preserve"> • umiestnenie: na vnútorné použitie 
 • zdroj svetla: LED 
 • počet zdrojov svetla: 6 ks 
 • farba zdrojov svetla: teplá biela 
 • funkcie: drevená dekorácia do okna, na dvere, hviezda, snehuliak 
 • rozmery: 18 x 17 x 2,2 cm 
 • napájanie: 2 x 1,5 V (AAA) batéria, nie je príslušenstvom</t>
        </is>
      </c>
    </row>
    <row r="829">
      <c r="A829" s="3" t="inlineStr">
        <is>
          <t>KLW 21 S</t>
        </is>
      </c>
      <c r="B829" s="2" t="inlineStr">
        <is>
          <t>Drevená dekorácia do okna, na dvere, snehuliak</t>
        </is>
      </c>
      <c r="C829" s="1" t="n">
        <v>10.49</v>
      </c>
      <c r="D829" s="7" t="n">
        <f>HYPERLINK("https://www.somogyi.sk/product/drevena-dekoracia-do-okna-na-dvere-snehuliak-klw-21-s-16983","https://www.somogyi.sk/product/drevena-dekoracia-do-okna-na-dvere-snehuliak-klw-21-s-16983")</f>
        <v>0.0</v>
      </c>
      <c r="E829" s="7" t="n">
        <f>HYPERLINK("https://www.somogyi.sk/productimages/product_main_images/small/16983.jpg","https://www.somogyi.sk/productimages/product_main_images/small/16983.jpg")</f>
        <v>0.0</v>
      </c>
      <c r="F829" s="2" t="inlineStr">
        <is>
          <t>5999084950156</t>
        </is>
      </c>
      <c r="G829" s="4" t="inlineStr">
        <is>
          <t xml:space="preserve"> • umiestnenie: na vnútorné použitie 
 • zdroj svetla: LED 
 • počet zdrojov svetla: 4 ks 
 • farba zdrojov svetla: teplá biela 
 • funkcie: drevená dekorácia do okna, na dvere, snehuliak 
 • rozmery: 13 x 21 x 2,3 cm 
 • napájanie: 2 x 1,5 V (AAA) batéria, nie je príslušenstvom</t>
        </is>
      </c>
    </row>
    <row r="830">
      <c r="A830" s="3" t="inlineStr">
        <is>
          <t>KAD 01</t>
        </is>
      </c>
      <c r="B830" s="2" t="inlineStr">
        <is>
          <t>Svietnik pyramída</t>
        </is>
      </c>
      <c r="C830" s="1" t="n">
        <v>17.49</v>
      </c>
      <c r="D830" s="7" t="n">
        <f>HYPERLINK("https://www.somogyi.sk/product/svietnik-pyramida-kad-01-4931","https://www.somogyi.sk/product/svietnik-pyramida-kad-01-4931")</f>
        <v>0.0</v>
      </c>
      <c r="E830" s="7" t="n">
        <f>HYPERLINK("https://www.somogyi.sk/productimages/product_main_images/small/04931.jpg","https://www.somogyi.sk/productimages/product_main_images/small/04931.jpg")</f>
        <v>0.0</v>
      </c>
      <c r="F830" s="2" t="inlineStr">
        <is>
          <t>5998312743546</t>
        </is>
      </c>
      <c r="G830" s="4" t="inlineStr">
        <is>
          <t xml:space="preserve"> • umiestnenie: vnútorné použitie 
 • zdroj svetla: žiarovka 
 • počet zdrojov svetla: 7 ks 
 • farba zdrojov svetla: teplá biela 
 • rozmery: 30 x 40 cm 
 • náhradná žiarovka: L 7D 
 • napájanie: 230 V~ 
 • ďalšie informácie: svietnik z lakovaného dreva</t>
        </is>
      </c>
    </row>
    <row r="831">
      <c r="A831" s="3" t="inlineStr">
        <is>
          <t>KAD 02</t>
        </is>
      </c>
      <c r="B831" s="2" t="inlineStr">
        <is>
          <t>Svietnik oblúk</t>
        </is>
      </c>
      <c r="C831" s="1" t="n">
        <v>25.99</v>
      </c>
      <c r="D831" s="7" t="n">
        <f>HYPERLINK("https://www.somogyi.sk/product/svietnik-obluk-kad-02-4932","https://www.somogyi.sk/product/svietnik-obluk-kad-02-4932")</f>
        <v>0.0</v>
      </c>
      <c r="E831" s="7" t="n">
        <f>HYPERLINK("https://www.somogyi.sk/productimages/product_main_images/small/04932.jpg","https://www.somogyi.sk/productimages/product_main_images/small/04932.jpg")</f>
        <v>0.0</v>
      </c>
      <c r="F831" s="2" t="inlineStr">
        <is>
          <t>5998312743553</t>
        </is>
      </c>
      <c r="G831" s="4" t="inlineStr">
        <is>
          <t xml:space="preserve"> • umiestnenie: vnútorné použitie 
 • zdroj svetla: žiarovka 
 • počet zdrojov svetla: 7 ks 
 • farba zdrojov svetla: teplá biela 
 • rozmery: 30 x 43 cm 
 • náhradná žiarovka: L 7D 
 • napájanie: 230 V~ 
 • ďalšie informácie: svietnik z lakovaného dreva</t>
        </is>
      </c>
    </row>
    <row r="832">
      <c r="A832" s="3" t="inlineStr">
        <is>
          <t>KAD 03</t>
        </is>
      </c>
      <c r="B832" s="2" t="inlineStr">
        <is>
          <t>Svietnik pyramída</t>
        </is>
      </c>
      <c r="C832" s="1" t="n">
        <v>17.49</v>
      </c>
      <c r="D832" s="7" t="n">
        <f>HYPERLINK("https://www.somogyi.sk/product/svietnik-pyramida-kad-03-4934","https://www.somogyi.sk/product/svietnik-pyramida-kad-03-4934")</f>
        <v>0.0</v>
      </c>
      <c r="E832" s="7" t="n">
        <f>HYPERLINK("https://www.somogyi.sk/productimages/product_main_images/small/04934.jpg","https://www.somogyi.sk/productimages/product_main_images/small/04934.jpg")</f>
        <v>0.0</v>
      </c>
      <c r="F832" s="2" t="inlineStr">
        <is>
          <t>5998312743560</t>
        </is>
      </c>
      <c r="G832" s="4" t="inlineStr">
        <is>
          <t xml:space="preserve"> • umiestnenie: vnútorné použitie 
 • zdroj svetla: žiarovka 
 • počet zdrojov svetla: 7 ks 
 • farba zdrojov svetla: teplá biela 
 • rozmery: 30 x 40 cm 
 • náhradná žiarovka: L 7D 
 • napájanie: 230 V~ 
 • ďalšie informácie: biely svietnik</t>
        </is>
      </c>
    </row>
    <row r="833">
      <c r="A833" s="3" t="inlineStr">
        <is>
          <t>KLW 21 R</t>
        </is>
      </c>
      <c r="B833" s="2" t="inlineStr">
        <is>
          <t>Drevená dekorácia do okna, na dvere, sob</t>
        </is>
      </c>
      <c r="C833" s="1" t="n">
        <v>10.49</v>
      </c>
      <c r="D833" s="7" t="n">
        <f>HYPERLINK("https://www.somogyi.sk/product/drevena-dekoracia-do-okna-na-dvere-sob-klw-21-r-16972","https://www.somogyi.sk/product/drevena-dekoracia-do-okna-na-dvere-sob-klw-21-r-16972")</f>
        <v>0.0</v>
      </c>
      <c r="E833" s="7" t="n">
        <f>HYPERLINK("https://www.somogyi.sk/productimages/product_main_images/small/16972.jpg","https://www.somogyi.sk/productimages/product_main_images/small/16972.jpg")</f>
        <v>0.0</v>
      </c>
      <c r="F833" s="2" t="inlineStr">
        <is>
          <t>5999084950040</t>
        </is>
      </c>
      <c r="G833" s="4" t="inlineStr">
        <is>
          <t xml:space="preserve"> • umiestnenie: na vnútorné použitie 
 • zdroj svetla: LED 
 • počet zdrojov svetla: 4 ks 
 • farba zdrojov svetla: teplá biela 
 • funkcie: drevená dekorácia do okna, na dvere, sob 
 • rozmery: 13 x 21 x 2,3 cm 
 • napájanie: 2 x 1,5 V (AAA) batéria, nie je príslušenstvom</t>
        </is>
      </c>
    </row>
    <row r="834">
      <c r="A834" s="3" t="inlineStr">
        <is>
          <t>KID 322</t>
        </is>
      </c>
      <c r="B834" s="2" t="inlineStr">
        <is>
          <t>LED dekorácia do okna</t>
        </is>
      </c>
      <c r="C834" s="1" t="n">
        <v>2.59</v>
      </c>
      <c r="D834" s="7" t="n">
        <f>HYPERLINK("https://www.somogyi.sk/product/led-dekoracia-do-okna-kid-322-11929","https://www.somogyi.sk/product/led-dekoracia-do-okna-kid-322-11929")</f>
        <v>0.0</v>
      </c>
      <c r="E834" s="7" t="n">
        <f>HYPERLINK("https://www.somogyi.sk/productimages/product_main_images/small/11929.jpg","https://www.somogyi.sk/productimages/product_main_images/small/11929.jpg")</f>
        <v>0.0</v>
      </c>
      <c r="F834" s="2" t="inlineStr">
        <is>
          <t>5999084901417</t>
        </is>
      </c>
      <c r="G834" s="4" t="inlineStr">
        <is>
          <t xml:space="preserve"> • umiestnenie: vnútorné použitie 
 • zdroj svetla: LED 
 • počet zdrojov svetla: 1 ks 
 • farba zdrojov svetla: farbu meniaca 
 • rozmery: 9 x 7,5 cm 
 • napájanie: 2 x CR 2032 batéria (príslušenstvo) 
 • ďalšie informácie: s prísavkou</t>
        </is>
      </c>
    </row>
    <row r="835">
      <c r="A835" s="3" t="inlineStr">
        <is>
          <t>KID 413</t>
        </is>
      </c>
      <c r="B835" s="2" t="inlineStr">
        <is>
          <t>LED dekorácia do okna, anjel, 19cm, 4,5V</t>
        </is>
      </c>
      <c r="C835" s="1" t="n">
        <v>6.59</v>
      </c>
      <c r="D835" s="7" t="n">
        <f>HYPERLINK("https://www.somogyi.sk/product/led-dekoracia-do-okna-anjel-19cm-4-5v-kid-413-12032","https://www.somogyi.sk/product/led-dekoracia-do-okna-anjel-19cm-4-5v-kid-413-12032")</f>
        <v>0.0</v>
      </c>
      <c r="E835" s="7" t="n">
        <f>HYPERLINK("https://www.somogyi.sk/productimages/product_main_images/small/12032.jpg","https://www.somogyi.sk/productimages/product_main_images/small/12032.jpg")</f>
        <v>0.0</v>
      </c>
      <c r="F835" s="2" t="inlineStr">
        <is>
          <t>5999084902445</t>
        </is>
      </c>
      <c r="G835" s="4" t="inlineStr">
        <is>
          <t xml:space="preserve"> • umiestnenie: vnútorné použitie 
 • zdroj svetla: LED 
 • počet zdrojov svetla: 8 ks 
 • farba zdrojov svetla: teplá biela 
 • farba kábla: priesvitná 
 • rozmery: 19 cm 
 • napájanie: 3 x AAA batéria (nie je príslušenstvom) 
 • ďalšie informácie: puzdro na batérie s prísavkou</t>
        </is>
      </c>
    </row>
    <row r="836">
      <c r="A836" s="3" t="inlineStr">
        <is>
          <t>KID 412</t>
        </is>
      </c>
      <c r="B836" s="2" t="inlineStr">
        <is>
          <t>LED dekorácia do okna</t>
        </is>
      </c>
      <c r="C836" s="1" t="n">
        <v>6.59</v>
      </c>
      <c r="D836" s="7" t="n">
        <f>HYPERLINK("https://www.somogyi.sk/product/led-dekoracia-do-okna-kid-412-12031","https://www.somogyi.sk/product/led-dekoracia-do-okna-kid-412-12031")</f>
        <v>0.0</v>
      </c>
      <c r="E836" s="7" t="n">
        <f>HYPERLINK("https://www.somogyi.sk/productimages/product_main_images/small/12031.jpg","https://www.somogyi.sk/productimages/product_main_images/small/12031.jpg")</f>
        <v>0.0</v>
      </c>
      <c r="F836" s="2" t="inlineStr">
        <is>
          <t>5999084902438</t>
        </is>
      </c>
      <c r="G836" s="4" t="inlineStr">
        <is>
          <t xml:space="preserve"> • umiestnenie: vnútorné použitie 
 • zdroj svetla: LED 
 • počet zdrojov svetla: 8 ks 
 • farba zdrojov svetla: teplá biela 
 • farba kábla: priesvitná 
 • rozmery: 19 cm 
 • napájanie: 3 x AAA batéria (nie je príslušenstvom) 
 • ďalšie informácie: puzdro na batérie s prísavkou</t>
        </is>
      </c>
    </row>
    <row r="837">
      <c r="A837" s="3" t="inlineStr">
        <is>
          <t>KID 415</t>
        </is>
      </c>
      <c r="B837" s="2" t="inlineStr">
        <is>
          <t>LED dekorácia do okna</t>
        </is>
      </c>
      <c r="C837" s="1" t="n">
        <v>6.59</v>
      </c>
      <c r="D837" s="7" t="n">
        <f>HYPERLINK("https://www.somogyi.sk/product/led-dekoracia-do-okna-kid-415-12034","https://www.somogyi.sk/product/led-dekoracia-do-okna-kid-415-12034")</f>
        <v>0.0</v>
      </c>
      <c r="E837" s="7" t="n">
        <f>HYPERLINK("https://www.somogyi.sk/productimages/product_main_images/small/12034.jpg","https://www.somogyi.sk/productimages/product_main_images/small/12034.jpg")</f>
        <v>0.0</v>
      </c>
      <c r="F837" s="2" t="inlineStr">
        <is>
          <t>5999084902469</t>
        </is>
      </c>
      <c r="G837" s="4" t="inlineStr">
        <is>
          <t xml:space="preserve"> • umiestnenie: vnútorné použitie 
 • zdroj svetla: LED 
 • počet zdrojov svetla: 8 ks 
 • farba zdrojov svetla: teplá biela 
 • farba kábla: priesvitná 
 • rozmery: 19 cm 
 • napájanie: 3 x AAA batéria (nie je príslušenstvom) 
 • ďalšie informácie: puzdro na batérie s prísavkou</t>
        </is>
      </c>
    </row>
    <row r="838">
      <c r="A838" s="3" t="inlineStr">
        <is>
          <t>KID 502 B/M</t>
        </is>
      </c>
      <c r="B838" s="2" t="inlineStr">
        <is>
          <t>LED dekorácia do okna</t>
        </is>
      </c>
      <c r="C838" s="1" t="n">
        <v>5.79</v>
      </c>
      <c r="D838" s="7" t="n">
        <f>HYPERLINK("https://www.somogyi.sk/product/led-dekoracia-do-okna-kid-502-b-m-17332","https://www.somogyi.sk/product/led-dekoracia-do-okna-kid-502-b-m-17332")</f>
        <v>0.0</v>
      </c>
      <c r="E838" s="7" t="n">
        <f>HYPERLINK("https://www.somogyi.sk/productimages/product_main_images/small/17332.jpg","https://www.somogyi.sk/productimages/product_main_images/small/17332.jpg")</f>
        <v>0.0</v>
      </c>
      <c r="F838" s="2" t="inlineStr">
        <is>
          <t>5999084953546</t>
        </is>
      </c>
      <c r="G838" s="4" t="inlineStr">
        <is>
          <t xml:space="preserve"> • umiestnenie: na vnútorné použitie 
 • zdroj svetla: LED 
 • počet zdrojov svetla: 35 ks 
 • farba zdrojov svetla: farebný 
 • farba kábla: biela farba 
 • rozmery: rozmery: 28 cm x 33 cm 
 • napájanie: 3 x 1,5 V AA batéria (nie je príslušenstvom)</t>
        </is>
      </c>
    </row>
    <row r="839">
      <c r="A839" s="3" t="inlineStr">
        <is>
          <t>KLW 32</t>
        </is>
      </c>
      <c r="B839" s="2" t="inlineStr">
        <is>
          <t>Drevená dekorácia do okna, na dvere</t>
        </is>
      </c>
      <c r="C839" s="1" t="n">
        <v>13.49</v>
      </c>
      <c r="D839" s="7" t="n">
        <f>HYPERLINK("https://www.somogyi.sk/product/drevena-dekoracia-do-okna-na-dvere-klw-32-16969","https://www.somogyi.sk/product/drevena-dekoracia-do-okna-na-dvere-klw-32-16969")</f>
        <v>0.0</v>
      </c>
      <c r="E839" s="7" t="n">
        <f>HYPERLINK("https://www.somogyi.sk/productimages/product_main_images/small/16969.jpg","https://www.somogyi.sk/productimages/product_main_images/small/16969.jpg")</f>
        <v>0.0</v>
      </c>
      <c r="F839" s="2" t="inlineStr">
        <is>
          <t>5999084950019</t>
        </is>
      </c>
      <c r="G839" s="4" t="inlineStr">
        <is>
          <t xml:space="preserve"> • umiestnenie: na vnútorné použitie 
 • zdroj svetla: LED 
 • počet zdrojov svetla: 6 ks 
 • farba zdrojov svetla: teplá biela 
 • funkcie: drevená dekorácia do okna, na dvere 
 • rozmery: 29 x 32 x 1,8 cm 
 • napájanie: 2 x 1,5 V (AAA) batéria, nie je príslušenstvom</t>
        </is>
      </c>
    </row>
    <row r="840">
      <c r="A840" s="3" t="inlineStr">
        <is>
          <t>KID 311</t>
        </is>
      </c>
      <c r="B840" s="2" t="inlineStr">
        <is>
          <t>LED dekorácia do okna</t>
        </is>
      </c>
      <c r="C840" s="1" t="n">
        <v>10.49</v>
      </c>
      <c r="D840" s="7" t="n">
        <f>HYPERLINK("https://www.somogyi.sk/product/led-dekoracia-do-okna-kid-311-12026","https://www.somogyi.sk/product/led-dekoracia-do-okna-kid-311-12026")</f>
        <v>0.0</v>
      </c>
      <c r="E840" s="7" t="n">
        <f>HYPERLINK("https://www.somogyi.sk/productimages/product_main_images/small/12026.jpg","https://www.somogyi.sk/productimages/product_main_images/small/12026.jpg")</f>
        <v>0.0</v>
      </c>
      <c r="F840" s="2" t="inlineStr">
        <is>
          <t>5999084902384</t>
        </is>
      </c>
      <c r="G840" s="4" t="inlineStr">
        <is>
          <t xml:space="preserve"> • umiestnenie: vnútorné použitie 
 • zdroj svetla: LED 
 • počet zdrojov svetla: 10 ks 
 • farba zdrojov svetla: studená biela 
 • farba kábla: priesvitná 
 • rozmery: 26 x 16 cm 
 • napájanie: 3 x AAA rozmer (nie je príslušenstvom) 
 • ďalšie informácie: puzdro na batérie s prísavkou</t>
        </is>
      </c>
    </row>
    <row r="841">
      <c r="A841" s="3" t="inlineStr">
        <is>
          <t>KID 115</t>
        </is>
      </c>
      <c r="B841" s="2" t="inlineStr">
        <is>
          <t>LED hviezda do okna</t>
        </is>
      </c>
      <c r="C841" s="1" t="n">
        <v>9.49</v>
      </c>
      <c r="D841" s="7" t="n">
        <f>HYPERLINK("https://www.somogyi.sk/product/led-hviezda-do-okna-kid-115-18134","https://www.somogyi.sk/product/led-hviezda-do-okna-kid-115-18134")</f>
        <v>0.0</v>
      </c>
      <c r="E841" s="7" t="n">
        <f>HYPERLINK("https://www.somogyi.sk/productimages/product_main_images/small/18134.jpg","https://www.somogyi.sk/productimages/product_main_images/small/18134.jpg")</f>
        <v>0.0</v>
      </c>
      <c r="F841" s="2" t="inlineStr">
        <is>
          <t>5999084961565</t>
        </is>
      </c>
      <c r="G841" s="4" t="inlineStr">
        <is>
          <t xml:space="preserve"> • na vnútorné použitie 
 • kovový rám 
 • 115 ks teplých bielych micro LED 
 • za-/vypínač na puzdre na batérie 
 • napájanie: 3 x 1,5 V (AA) batéria, nie je príslušenstvom 
 • rozmery: 30 x 30 cm</t>
        </is>
      </c>
    </row>
    <row r="842">
      <c r="A842" s="3" t="inlineStr">
        <is>
          <t>KID 502 B/WW</t>
        </is>
      </c>
      <c r="B842" s="2" t="inlineStr">
        <is>
          <t>LED dekorácia do okna, stromček</t>
        </is>
      </c>
      <c r="C842" s="1" t="n">
        <v>5.79</v>
      </c>
      <c r="D842" s="7" t="n">
        <f>HYPERLINK("https://www.somogyi.sk/product/led-dekoracia-do-okna-stromcek-kid-502-b-ww-17037","https://www.somogyi.sk/product/led-dekoracia-do-okna-stromcek-kid-502-b-ww-17037")</f>
        <v>0.0</v>
      </c>
      <c r="E842" s="7" t="n">
        <f>HYPERLINK("https://www.somogyi.sk/productimages/product_main_images/small/17037.jpg","https://www.somogyi.sk/productimages/product_main_images/small/17037.jpg")</f>
        <v>0.0</v>
      </c>
      <c r="F842" s="2" t="inlineStr">
        <is>
          <t>5999084950699</t>
        </is>
      </c>
      <c r="G842" s="4" t="inlineStr">
        <is>
          <t xml:space="preserve"> • umiestnenie: na vnútorné použitie 
 • zdroj svetla: LED 
 • počet zdrojov svetla: 35 ks 
 • farba zdrojov svetla: teplá biela 
 • rozmery: 28 x 33 cm 
 • napájanie: 3 x 1,5 V (AA) batéria, nie je príslušenstvom 
 • ďalšie informácie: priebežná prevádzka alebo 6h ON/18h OFF časovač, 2 prísavky sú príslušenstvom</t>
        </is>
      </c>
    </row>
    <row r="843">
      <c r="A843" s="3" t="inlineStr">
        <is>
          <t>KID 503 B/WW</t>
        </is>
      </c>
      <c r="B843" s="2" t="inlineStr">
        <is>
          <t>LED dekorácia do okna, hviezda</t>
        </is>
      </c>
      <c r="C843" s="1" t="n">
        <v>5.79</v>
      </c>
      <c r="D843" s="7" t="n">
        <f>HYPERLINK("https://www.somogyi.sk/product/led-dekoracia-do-okna-hviezda-kid-503-b-ww-17038","https://www.somogyi.sk/product/led-dekoracia-do-okna-hviezda-kid-503-b-ww-17038")</f>
        <v>0.0</v>
      </c>
      <c r="E843" s="7" t="n">
        <f>HYPERLINK("https://www.somogyi.sk/productimages/product_main_images/small/17038.jpg","https://www.somogyi.sk/productimages/product_main_images/small/17038.jpg")</f>
        <v>0.0</v>
      </c>
      <c r="F843" s="2" t="inlineStr">
        <is>
          <t>5999084950705</t>
        </is>
      </c>
      <c r="G843" s="4" t="inlineStr">
        <is>
          <t xml:space="preserve"> • umiestnenie: na vnútorné použitie 
 • zdroj svetla: LED 
 • počet zdrojov svetla: 35 ks 
 • farba zdrojov svetla: teplá biela 
 • rozmery: 33 x 33 cm 
 • napájanie: 3 x 1,5 V (AA) batéria, nie je príslušenstvom 
 • ďalšie informácie: priebežná prevádzka alebo 6h ON/18h OFF časovač, 2 prísavky sú príslušenstvom</t>
        </is>
      </c>
    </row>
    <row r="844">
      <c r="A844" s="3" t="inlineStr">
        <is>
          <t>KID 211 B/WW</t>
        </is>
      </c>
      <c r="B844" s="2" t="inlineStr">
        <is>
          <t>LED dekorácia do okna, akrylová hviezda</t>
        </is>
      </c>
      <c r="C844" s="1" t="n">
        <v>11.49</v>
      </c>
      <c r="D844" s="7" t="n">
        <f>HYPERLINK("https://www.somogyi.sk/product/led-dekoracia-do-okna-akrylova-hviezda-kid-211-b-ww-17039","https://www.somogyi.sk/product/led-dekoracia-do-okna-akrylova-hviezda-kid-211-b-ww-17039")</f>
        <v>0.0</v>
      </c>
      <c r="E844" s="7" t="n">
        <f>HYPERLINK("https://www.somogyi.sk/productimages/product_main_images/small/17039.jpg","https://www.somogyi.sk/productimages/product_main_images/small/17039.jpg")</f>
        <v>0.0</v>
      </c>
      <c r="F844" s="2" t="inlineStr">
        <is>
          <t>5999084950712</t>
        </is>
      </c>
      <c r="G844" s="4" t="inlineStr">
        <is>
          <t xml:space="preserve"> • umiestnenie: na vnútorné použitie 
 • zdroj svetla: LED 
 • počet zdrojov svetla: 20 ks 
 • farba zdrojov svetla: teplá biela 
 • rozmery: 30,5 x 32 cm 
 • napájanie: 2 x 1,5 V (AA) batéria, nie je príslušenstvom 
 • ďalšie informácie: 6h ON/18h OFF časovač, prísavka je príslušenstvom</t>
        </is>
      </c>
    </row>
    <row r="845">
      <c r="A845" s="3" t="inlineStr">
        <is>
          <t>KLW 40</t>
        </is>
      </c>
      <c r="B845" s="2" t="inlineStr">
        <is>
          <t>Drevený svietiaci obraz</t>
        </is>
      </c>
      <c r="C845" s="1" t="n">
        <v>13.49</v>
      </c>
      <c r="D845" s="7" t="n">
        <f>HYPERLINK("https://www.somogyi.sk/product/dreveny-svietiaci-obraz-klw-40-16970","https://www.somogyi.sk/product/dreveny-svietiaci-obraz-klw-40-16970")</f>
        <v>0.0</v>
      </c>
      <c r="E845" s="7" t="n">
        <f>HYPERLINK("https://www.somogyi.sk/productimages/product_main_images/small/16970.jpg","https://www.somogyi.sk/productimages/product_main_images/small/16970.jpg")</f>
        <v>0.0</v>
      </c>
      <c r="F845" s="2" t="inlineStr">
        <is>
          <t>5999084950026</t>
        </is>
      </c>
      <c r="G845" s="4" t="inlineStr">
        <is>
          <t xml:space="preserve"> • umiestnenie: na vnútorné použitie 
 • zdroj svetla: LED 
 • počet zdrojov svetla: 6 ks 
 • farba zdrojov svetla: teplá biela 
 • funkcie: drevený svietiaci obraz 
 • rozmery: 40 x 23,9 x 2,5 cm 
 • napájanie: 2 x 1,5 V (AAA) batéria, nie je príslušenstvom 
 • ďalšie informácie: - časovač osvetlenia: 
 •  OFF/ON (6 h ON / 18 h OFF) opakujúci sa časovač</t>
        </is>
      </c>
    </row>
    <row r="846">
      <c r="A846" s="3" t="inlineStr">
        <is>
          <t>KID 331/WH</t>
        </is>
      </c>
      <c r="B846" s="2" t="inlineStr">
        <is>
          <t>LED dekorácia do okna</t>
        </is>
      </c>
      <c r="C846" s="1" t="n">
        <v>2.59</v>
      </c>
      <c r="D846" s="7" t="n">
        <f>HYPERLINK("https://www.somogyi.sk/product/led-dekoracia-do-okna-kid-331-wh-14726","https://www.somogyi.sk/product/led-dekoracia-do-okna-kid-331-wh-14726")</f>
        <v>0.0</v>
      </c>
      <c r="E846" s="7" t="n">
        <f>HYPERLINK("https://www.somogyi.sk/productimages/product_main_images/small/14726.jpg","https://www.somogyi.sk/productimages/product_main_images/small/14726.jpg")</f>
        <v>0.0</v>
      </c>
      <c r="F846" s="2" t="inlineStr">
        <is>
          <t>5999084927684</t>
        </is>
      </c>
      <c r="G846" s="4" t="inlineStr">
        <is>
          <t xml:space="preserve"> • umiestnenie: vnútorné použitie 
 • zdroj svetla: LED 
 • počet zdrojov svetla: 1 ks 
 • farba zdrojov svetla: studená biela 
 • rozmery: 10 x 10 cm 
 • napájanie: 2 x CR 2032 batéria (príslušenstvo)</t>
        </is>
      </c>
    </row>
    <row r="847">
      <c r="A847" s="3" t="inlineStr">
        <is>
          <t>KAL 01</t>
        </is>
      </c>
      <c r="B847" s="2" t="inlineStr">
        <is>
          <t>Svietnik pyramída</t>
        </is>
      </c>
      <c r="C847" s="1" t="n">
        <v>17.49</v>
      </c>
      <c r="D847" s="7" t="n">
        <f>HYPERLINK("https://www.somogyi.sk/product/svietnik-pyramida-kal-01-13385","https://www.somogyi.sk/product/svietnik-pyramida-kal-01-13385")</f>
        <v>0.0</v>
      </c>
      <c r="E847" s="7" t="n">
        <f>HYPERLINK("https://www.somogyi.sk/productimages/product_main_images/small/13385.jpg","https://www.somogyi.sk/productimages/product_main_images/small/13385.jpg")</f>
        <v>0.0</v>
      </c>
      <c r="F847" s="2" t="inlineStr">
        <is>
          <t>5999084914714</t>
        </is>
      </c>
      <c r="G847" s="4" t="inlineStr">
        <is>
          <t xml:space="preserve"> • umiestnenie: vnútorné použitie 
 • zdroj svetla: LED 
 • počet zdrojov svetla: 7 ks 
 • farba zdrojov svetla: teplá biela 
 • rozmery: 27 x 41 cm 
 • náhradná žiarovka: - 
 • napájanie: 2 x AA batéria 
 • ďalšie informácie: plastový svietnik, 10 cm-ové sviečky</t>
        </is>
      </c>
    </row>
    <row r="848">
      <c r="A848" s="3" t="inlineStr">
        <is>
          <t>KAL 02</t>
        </is>
      </c>
      <c r="B848" s="2" t="inlineStr">
        <is>
          <t>LED svietnik pyramída</t>
        </is>
      </c>
      <c r="C848" s="1" t="n">
        <v>13.99</v>
      </c>
      <c r="D848" s="7" t="n">
        <f>HYPERLINK("https://www.somogyi.sk/product/led-svietnik-pyramida-kal-02-18131","https://www.somogyi.sk/product/led-svietnik-pyramida-kal-02-18131")</f>
        <v>0.0</v>
      </c>
      <c r="E848" s="7" t="n">
        <f>HYPERLINK("https://www.somogyi.sk/productimages/product_main_images/small/18131.jpg","https://www.somogyi.sk/productimages/product_main_images/small/18131.jpg")</f>
        <v>0.0</v>
      </c>
      <c r="F848" s="2" t="inlineStr">
        <is>
          <t>5999084961534</t>
        </is>
      </c>
      <c r="G848" s="4" t="inlineStr">
        <is>
          <t xml:space="preserve"> • na vnútorné použitie 
 • materiál: červený plast 
 • 7 ks teplých bielych stálych LED 
 • ON/TIMER (6h ON / 18h OFF) opakovanie časovača / OFF 
 • 10 cm výška sviečok 
 • napájanie: 2 x 1,5 V (AA) batéria (nie je príslušenstvom) 
 • rozmery: 41 x 27 cm</t>
        </is>
      </c>
    </row>
    <row r="849">
      <c r="A849" s="3" t="inlineStr">
        <is>
          <t>KID 314</t>
        </is>
      </c>
      <c r="B849" s="2" t="inlineStr">
        <is>
          <t>LED dekorácia do okna</t>
        </is>
      </c>
      <c r="C849" s="1" t="n">
        <v>10.49</v>
      </c>
      <c r="D849" s="7" t="n">
        <f>HYPERLINK("https://www.somogyi.sk/product/led-dekoracia-do-okna-kid-314-12029","https://www.somogyi.sk/product/led-dekoracia-do-okna-kid-314-12029")</f>
        <v>0.0</v>
      </c>
      <c r="E849" s="7" t="n">
        <f>HYPERLINK("https://www.somogyi.sk/productimages/product_main_images/small/12029.jpg","https://www.somogyi.sk/productimages/product_main_images/small/12029.jpg")</f>
        <v>0.0</v>
      </c>
      <c r="F849" s="2" t="inlineStr">
        <is>
          <t>5999084902414</t>
        </is>
      </c>
      <c r="G849" s="4" t="inlineStr">
        <is>
          <t xml:space="preserve"> • umiestnenie: vnútorné použitie 
 • zdroj svetla: LED 
 • počet zdrojov svetla: 10 ks 
 • farba zdrojov svetla: studená biela 
 • farba kábla: priesvitná 
 • rozmery: 20 x 16 cm 
 • napájanie: 3 x AAA rozmer (nie je príslušenstvom) 
 • ďalšie informácie: puzdro na batérie s prísavkou</t>
        </is>
      </c>
    </row>
    <row r="850">
      <c r="A850" s="3" t="inlineStr">
        <is>
          <t>KID 323</t>
        </is>
      </c>
      <c r="B850" s="2" t="inlineStr">
        <is>
          <t>LED dekorácia do okna</t>
        </is>
      </c>
      <c r="C850" s="1" t="n">
        <v>2.59</v>
      </c>
      <c r="D850" s="7" t="n">
        <f>HYPERLINK("https://www.somogyi.sk/product/led-dekoracia-do-okna-kid-323-11930","https://www.somogyi.sk/product/led-dekoracia-do-okna-kid-323-11930")</f>
        <v>0.0</v>
      </c>
      <c r="E850" s="7" t="n">
        <f>HYPERLINK("https://www.somogyi.sk/productimages/product_main_images/small/11930.jpg","https://www.somogyi.sk/productimages/product_main_images/small/11930.jpg")</f>
        <v>0.0</v>
      </c>
      <c r="F850" s="2" t="inlineStr">
        <is>
          <t>5999084901424</t>
        </is>
      </c>
      <c r="G850" s="4" t="inlineStr">
        <is>
          <t xml:space="preserve"> • umiestnenie: vnútorné použitie 
 • zdroj svetla: LED 
 • počet zdrojov svetla: 1 ks 
 • farba zdrojov svetla: farbu meniaca 
 • rozmery: 11 x 7 cm 
 • napájanie: 2 x CR 2032 batéria (príslušenstvo) 
 • ďalšie informácie: s prísavkou</t>
        </is>
      </c>
    </row>
    <row r="851">
      <c r="A851" s="3" t="inlineStr">
        <is>
          <t>KAD 07/RD</t>
        </is>
      </c>
      <c r="B851" s="2" t="inlineStr">
        <is>
          <t>Svietnik pyramída, červený</t>
        </is>
      </c>
      <c r="C851" s="1" t="n">
        <v>26.99</v>
      </c>
      <c r="D851" s="7" t="n">
        <f>HYPERLINK("https://www.somogyi.sk/product/svietnik-pyramida-cerveny-kad-07-rd-8972","https://www.somogyi.sk/product/svietnik-pyramida-cerveny-kad-07-rd-8972")</f>
        <v>0.0</v>
      </c>
      <c r="E851" s="7" t="n">
        <f>HYPERLINK("https://www.somogyi.sk/productimages/product_main_images/small/08972.jpg","https://www.somogyi.sk/productimages/product_main_images/small/08972.jpg")</f>
        <v>0.0</v>
      </c>
      <c r="F851" s="2" t="inlineStr">
        <is>
          <t>5998312778524</t>
        </is>
      </c>
      <c r="G851" s="4" t="inlineStr">
        <is>
          <t xml:space="preserve"> • umiestnenie: vnútorné použitie 
 • zdroj svetla: glim 
 • počet zdrojov svetla: 7 ks 
 • farba zdrojov svetla: červená 
 • rozmery: 33 x 40 cm 
 • náhradná žiarovka: L 2040C/E10 
 • napájanie: 230 V~ 
 • ďalšie informácie: červený drevený svietnik</t>
        </is>
      </c>
    </row>
    <row r="852">
      <c r="A852" s="3" t="inlineStr">
        <is>
          <t>KID 411</t>
        </is>
      </c>
      <c r="B852" s="2" t="inlineStr">
        <is>
          <t>LED dekorácia do okna</t>
        </is>
      </c>
      <c r="C852" s="1" t="n">
        <v>6.59</v>
      </c>
      <c r="D852" s="7" t="n">
        <f>HYPERLINK("https://www.somogyi.sk/product/led-dekoracia-do-okna-kid-411-12030","https://www.somogyi.sk/product/led-dekoracia-do-okna-kid-411-12030")</f>
        <v>0.0</v>
      </c>
      <c r="E852" s="7" t="n">
        <f>HYPERLINK("https://www.somogyi.sk/productimages/product_main_images/small/12030.jpg","https://www.somogyi.sk/productimages/product_main_images/small/12030.jpg")</f>
        <v>0.0</v>
      </c>
      <c r="F852" s="2" t="inlineStr">
        <is>
          <t>5999084902421</t>
        </is>
      </c>
      <c r="G852" s="4" t="inlineStr">
        <is>
          <t xml:space="preserve"> • umiestnenie: vnútorné použitie 
 • zdroj svetla: LED 
 • počet zdrojov svetla: 8 ks 
 • farba zdrojov svetla: teplá biela 
 • farba kábla: priesvitná 
 • rozmery: 19 cm 
 • napájanie: 3 x AAA batéria (nie je príslušenstvom) 
 • ďalšie informácie: puzdro na batérie s prísavkou</t>
        </is>
      </c>
    </row>
    <row r="853">
      <c r="A853" s="3" t="inlineStr">
        <is>
          <t>KID 312</t>
        </is>
      </c>
      <c r="B853" s="2" t="inlineStr">
        <is>
          <t>LED dekorácia do okna</t>
        </is>
      </c>
      <c r="C853" s="1" t="n">
        <v>10.49</v>
      </c>
      <c r="D853" s="7" t="n">
        <f>HYPERLINK("https://www.somogyi.sk/product/led-dekoracia-do-okna-kid-312-12027","https://www.somogyi.sk/product/led-dekoracia-do-okna-kid-312-12027")</f>
        <v>0.0</v>
      </c>
      <c r="E853" s="7" t="n">
        <f>HYPERLINK("https://www.somogyi.sk/productimages/product_main_images/small/12027.jpg","https://www.somogyi.sk/productimages/product_main_images/small/12027.jpg")</f>
        <v>0.0</v>
      </c>
      <c r="F853" s="2" t="inlineStr">
        <is>
          <t>5999084902391</t>
        </is>
      </c>
      <c r="G853" s="4" t="inlineStr">
        <is>
          <t xml:space="preserve"> • umiestnenie: vnútorné použitie 
 • zdroj svetla: LED 
 • počet zdrojov svetla: 10 ks 
 • farba zdrojov svetla: studená biela 
 • farba kábla: priesvitná 
 • rozmery: 21 x 19 cm 
 • napájanie: 3 x AAA rozmer (nie je príslušenstvom) 
 • ďalšie informácie: puzdro na batérie s prísavkou</t>
        </is>
      </c>
    </row>
    <row r="854">
      <c r="A854" s="3" t="inlineStr">
        <is>
          <t>KID 701/WW</t>
        </is>
      </c>
      <c r="B854" s="2" t="inlineStr">
        <is>
          <t>LED akrylová dekorácia do okna, snehová vločka, teplá biela</t>
        </is>
      </c>
      <c r="C854" s="1" t="n">
        <v>10.99</v>
      </c>
      <c r="D854" s="7" t="n">
        <f>HYPERLINK("https://www.somogyi.sk/product/led-akrylova-dekoracia-do-okna-snehova-vlocka-tepla-biela-kid-701-ww-17748","https://www.somogyi.sk/product/led-akrylova-dekoracia-do-okna-snehova-vlocka-tepla-biela-kid-701-ww-17748")</f>
        <v>0.0</v>
      </c>
      <c r="E854" s="7" t="n">
        <f>HYPERLINK("https://www.somogyi.sk/productimages/product_main_images/small/17748.jpg","https://www.somogyi.sk/productimages/product_main_images/small/17748.jpg")</f>
        <v>0.0</v>
      </c>
      <c r="F854" s="2" t="inlineStr">
        <is>
          <t>5999084957704</t>
        </is>
      </c>
      <c r="G854" s="4" t="inlineStr">
        <is>
          <t xml:space="preserve"> • umiestnenie: na vnútorné použitie 
 • zdroj svetla: LED 
 • počet zdrojov svetla: 16 ks 
 • farba zdrojov svetla: teplá biela 
 • rozmery: 30 x 30 cm 
 • napájanie: 3 x AA batéria, nie je príslušenstvom 
 • ďalšie informácie: materiál: akryl</t>
        </is>
      </c>
    </row>
    <row r="855">
      <c r="A855" s="3" t="inlineStr">
        <is>
          <t>KID 331</t>
        </is>
      </c>
      <c r="B855" s="2" t="inlineStr">
        <is>
          <t>LED dekorácia do okna</t>
        </is>
      </c>
      <c r="C855" s="1" t="n">
        <v>2.59</v>
      </c>
      <c r="D855" s="7" t="n">
        <f>HYPERLINK("https://www.somogyi.sk/product/led-dekoracia-do-okna-kid-331-13992","https://www.somogyi.sk/product/led-dekoracia-do-okna-kid-331-13992")</f>
        <v>0.0</v>
      </c>
      <c r="E855" s="7" t="n">
        <f>HYPERLINK("https://www.somogyi.sk/productimages/product_main_images/small/13992.jpg","https://www.somogyi.sk/productimages/product_main_images/small/13992.jpg")</f>
        <v>0.0</v>
      </c>
      <c r="F855" s="2" t="inlineStr">
        <is>
          <t>5999084920449</t>
        </is>
      </c>
      <c r="G855" s="4" t="inlineStr">
        <is>
          <t xml:space="preserve"> • umiestnenie: vnútorné použitie 
 • zdroj svetla: LED 
 • počet zdrojov svetla: 1 ks 
 • farba zdrojov svetla: farbu meniaca 
 • rozmery: 10 x 10 cm 
 • napájanie: 2 x CR 2032 batéria (príslušenstvo)</t>
        </is>
      </c>
    </row>
    <row r="856">
      <c r="A856" s="3" t="inlineStr">
        <is>
          <t>KID 321</t>
        </is>
      </c>
      <c r="B856" s="2" t="inlineStr">
        <is>
          <t>LED dekorácia do okna</t>
        </is>
      </c>
      <c r="C856" s="1" t="n">
        <v>2.59</v>
      </c>
      <c r="D856" s="7" t="n">
        <f>HYPERLINK("https://www.somogyi.sk/product/led-dekoracia-do-okna-kid-321-11928","https://www.somogyi.sk/product/led-dekoracia-do-okna-kid-321-11928")</f>
        <v>0.0</v>
      </c>
      <c r="E856" s="7" t="n">
        <f>HYPERLINK("https://www.somogyi.sk/productimages/product_main_images/small/11928.jpg","https://www.somogyi.sk/productimages/product_main_images/small/11928.jpg")</f>
        <v>0.0</v>
      </c>
      <c r="F856" s="2" t="inlineStr">
        <is>
          <t>5999084901400</t>
        </is>
      </c>
      <c r="G856" s="4" t="inlineStr">
        <is>
          <t xml:space="preserve"> • umiestnenie: vnútorné použitie 
 • zdroj svetla: LED 
 • počet zdrojov svetla: 1 ks 
 • farba zdrojov svetla: farbu meniaca 
 • rozmery: 10 x 7 cm 
 • napájanie: 2 x CR 2032 batéria (príslušenstvo) 
 • ďalšie informácie: s prísavkou</t>
        </is>
      </c>
    </row>
    <row r="857">
      <c r="A857" s="3" t="inlineStr">
        <is>
          <t>KID 701</t>
        </is>
      </c>
      <c r="B857" s="2" t="inlineStr">
        <is>
          <t>LED dekorácia do okna, akryl, snehová vločka</t>
        </is>
      </c>
      <c r="C857" s="1" t="n">
        <v>10.99</v>
      </c>
      <c r="D857" s="7" t="n">
        <f>HYPERLINK("https://www.somogyi.sk/product/led-dekoracia-do-okna-akryl-snehova-vlocka-kid-701-11910","https://www.somogyi.sk/product/led-dekoracia-do-okna-akryl-snehova-vlocka-kid-701-11910")</f>
        <v>0.0</v>
      </c>
      <c r="E857" s="7" t="n">
        <f>HYPERLINK("https://www.somogyi.sk/productimages/product_main_images/small/11910.jpg","https://www.somogyi.sk/productimages/product_main_images/small/11910.jpg")</f>
        <v>0.0</v>
      </c>
      <c r="F857" s="2" t="inlineStr">
        <is>
          <t>5999084901226</t>
        </is>
      </c>
      <c r="G857" s="4" t="inlineStr">
        <is>
          <t xml:space="preserve"> • umiestnenie: vnútorné použitie 
 • zdroj svetla: LED 
 • počet zdrojov svetla: 16 ks 
 • farba zdrojov svetla: studená biela 
 • rozmery: 30 x 30 cm 
 • napájanie: 3 x AA batéria (nie je príslušenstvom) 
 • ďalšie informácie: materiál z akrylu</t>
        </is>
      </c>
    </row>
    <row r="858">
      <c r="A858" s="3" t="inlineStr">
        <is>
          <t>KAD 07</t>
        </is>
      </c>
      <c r="B858" s="2" t="inlineStr">
        <is>
          <t>Svietnik pyramída</t>
        </is>
      </c>
      <c r="C858" s="1" t="n">
        <v>26.99</v>
      </c>
      <c r="D858" s="7" t="n">
        <f>HYPERLINK("https://www.somogyi.sk/product/svietnik-pyramida-kad-07-8973","https://www.somogyi.sk/product/svietnik-pyramida-kad-07-8973")</f>
        <v>0.0</v>
      </c>
      <c r="E858" s="7" t="n">
        <f>HYPERLINK("https://www.somogyi.sk/productimages/product_main_images/small/08973.jpg","https://www.somogyi.sk/productimages/product_main_images/small/08973.jpg")</f>
        <v>0.0</v>
      </c>
      <c r="F858" s="2" t="inlineStr">
        <is>
          <t>5998312778531</t>
        </is>
      </c>
      <c r="G858" s="4" t="inlineStr">
        <is>
          <t xml:space="preserve"> • na vnútorné použitie 
 • lakované drevo 
 • 7 ks červených „plameň sviečky“ žiaroviek 
 • napájanie: 230 V~ 
 • náhr. žiar.: L 2040C/E10</t>
        </is>
      </c>
    </row>
    <row r="859">
      <c r="A859" s="6" t="inlineStr">
        <is>
          <t xml:space="preserve">   Vianočné dekoračné osvetlenie / Lampáš</t>
        </is>
      </c>
      <c r="B859" s="6" t="inlineStr">
        <is>
          <t/>
        </is>
      </c>
      <c r="C859" s="6" t="inlineStr">
        <is>
          <t/>
        </is>
      </c>
      <c r="D859" s="6" t="inlineStr">
        <is>
          <t/>
        </is>
      </c>
      <c r="E859" s="6" t="inlineStr">
        <is>
          <t/>
        </is>
      </c>
      <c r="F859" s="6" t="inlineStr">
        <is>
          <t/>
        </is>
      </c>
      <c r="G859" s="6" t="inlineStr">
        <is>
          <t/>
        </is>
      </c>
    </row>
    <row r="860">
      <c r="A860" s="3" t="inlineStr">
        <is>
          <t>LTN 14</t>
        </is>
      </c>
      <c r="B860" s="2" t="inlineStr">
        <is>
          <t>Lampáš so snežítkom a trblietkami</t>
        </is>
      </c>
      <c r="C860" s="1" t="n">
        <v>31.99</v>
      </c>
      <c r="D860" s="7" t="n">
        <f>HYPERLINK("https://www.somogyi.sk/product/lampas-so-snezitkom-a-trblietkami-ltn-14-17000","https://www.somogyi.sk/product/lampas-so-snezitkom-a-trblietkami-ltn-14-17000")</f>
        <v>0.0</v>
      </c>
      <c r="E860" s="7" t="n">
        <f>HYPERLINK("https://www.somogyi.sk/productimages/product_main_images/small/17000.jpg","https://www.somogyi.sk/productimages/product_main_images/small/17000.jpg")</f>
        <v>0.0</v>
      </c>
      <c r="F860" s="2" t="inlineStr">
        <is>
          <t>5999084950323</t>
        </is>
      </c>
      <c r="G860" s="4" t="inlineStr">
        <is>
          <t xml:space="preserve"> • umiestnenie: na vnútorné použitie 
 • zdroj svetla: LED 
 • materiál: plast 
 • počet zdrojov svetla: 1 
 • farba zdrojov svetla: teplá biela 
 • rozmery: 16,5 x 17 x 8 cm 
 • napájanie: 3 x 1,5 V (AA) batéria, nie je príslušenstvom 
 • ďalšie informácie: rozmery prípojky adaptéra: 3,5 x 1,35 mm</t>
        </is>
      </c>
    </row>
    <row r="861">
      <c r="A861" s="3" t="inlineStr">
        <is>
          <t>LTN 15</t>
        </is>
      </c>
      <c r="B861" s="2" t="inlineStr">
        <is>
          <t>Lampáš so snežítkom a trblietkami</t>
        </is>
      </c>
      <c r="C861" s="1" t="n">
        <v>36.99</v>
      </c>
      <c r="D861" s="7" t="n">
        <f>HYPERLINK("https://www.somogyi.sk/product/lampas-so-snezitkom-a-trblietkami-ltn-15-17001","https://www.somogyi.sk/product/lampas-so-snezitkom-a-trblietkami-ltn-15-17001")</f>
        <v>0.0</v>
      </c>
      <c r="E861" s="7" t="n">
        <f>HYPERLINK("https://www.somogyi.sk/productimages/product_main_images/small/17001.jpg","https://www.somogyi.sk/productimages/product_main_images/small/17001.jpg")</f>
        <v>0.0</v>
      </c>
      <c r="F861" s="2" t="inlineStr">
        <is>
          <t>5999084950330</t>
        </is>
      </c>
      <c r="G861" s="4" t="inlineStr">
        <is>
          <t xml:space="preserve"> • umiestnenie: na vnútorné použitie 
 • zdroj svetla: LED 
 • materiál: plast 
 • počet zdrojov svetla: 1 
 • farba zdrojov svetla: teplá biela 
 • rozmery: 13,5 x 11 x 26 cm 
 • napájanie: 3 x 1,5 V (AA) batéria, nie je príslušenstvom</t>
        </is>
      </c>
    </row>
    <row r="862">
      <c r="A862" s="3" t="inlineStr">
        <is>
          <t>LTN 17</t>
        </is>
      </c>
      <c r="B862" s="2" t="inlineStr">
        <is>
          <t>Lampáš so snežítkom, trblietkami, vojačikom</t>
        </is>
      </c>
      <c r="C862" s="1" t="n">
        <v>39.99</v>
      </c>
      <c r="D862" s="7" t="n">
        <f>HYPERLINK("https://www.somogyi.sk/product/lampas-so-snezitkom-trblietkami-vojacikom-ltn-17-17343","https://www.somogyi.sk/product/lampas-so-snezitkom-trblietkami-vojacikom-ltn-17-17343")</f>
        <v>0.0</v>
      </c>
      <c r="E862" s="7" t="n">
        <f>HYPERLINK("https://www.somogyi.sk/productimages/product_main_images/small/17343.jpg","https://www.somogyi.sk/productimages/product_main_images/small/17343.jpg")</f>
        <v>0.0</v>
      </c>
      <c r="F862" s="2" t="inlineStr">
        <is>
          <t>5999084953652</t>
        </is>
      </c>
      <c r="G862" s="4" t="inlineStr">
        <is>
          <t xml:space="preserve"> • umiestnenie: na vnútorné použitie 
 • zdroj svetla: LED 
 • materiál: plastový 
 • počet zdrojov svetla: 1 
 • farba zdrojov svetla: teplá biela 
 • rozmery: 10,4 x 27 x 10,4 cm 
 • napájanie: 3 x 1,5 V AA batéria (nie je príslušenstvom); adaptér: 4,5 V DC, nie je príslušenstvom 
 • ďalšie informácie: rozmery prípojky adaptéra: 3,5 x 1,35 mm</t>
        </is>
      </c>
    </row>
    <row r="863">
      <c r="A863" s="3" t="inlineStr">
        <is>
          <t>LTN 16</t>
        </is>
      </c>
      <c r="B863" s="2" t="inlineStr">
        <is>
          <t>Lampáš so snežítkom, trblietkami, Mikulášom</t>
        </is>
      </c>
      <c r="C863" s="1" t="n">
        <v>42.99</v>
      </c>
      <c r="D863" s="7" t="n">
        <f>HYPERLINK("https://www.somogyi.sk/product/lampas-so-snezitkom-trblietkami-mikulasom-ltn-16-17340","https://www.somogyi.sk/product/lampas-so-snezitkom-trblietkami-mikulasom-ltn-16-17340")</f>
        <v>0.0</v>
      </c>
      <c r="E863" s="7" t="n">
        <f>HYPERLINK("https://www.somogyi.sk/productimages/product_main_images/small/17340.jpg","https://www.somogyi.sk/productimages/product_main_images/small/17340.jpg")</f>
        <v>0.0</v>
      </c>
      <c r="F863" s="2" t="inlineStr">
        <is>
          <t>5999084953621</t>
        </is>
      </c>
      <c r="G863" s="4" t="inlineStr">
        <is>
          <t xml:space="preserve"> • umiestnenie: na vnútorné použitie 
 • zdroj svetla: LED 
 • materiál: plastový 
 • počet zdrojov svetla: 1 
 • farba zdrojov svetla: teplá biela 
 • rozmery: 16 x 26,5 x 8,8 cm 
 • napájanie: 3 x 1,5 V AA batéria (nie je príslušenstvom); adaptér: 4,5 V DC, nie je príslušenstvom 
 • ďalšie informácie: rozmery prípojky adaptéra: 3,5 x 1,35 mm</t>
        </is>
      </c>
    </row>
    <row r="864">
      <c r="A864" s="3" t="inlineStr">
        <is>
          <t>LTN 18</t>
        </is>
      </c>
      <c r="B864" s="2" t="inlineStr">
        <is>
          <t>Lampáš so snežítkom, trblietkami a snehuliakom</t>
        </is>
      </c>
      <c r="C864" s="1" t="n">
        <v>25.99</v>
      </c>
      <c r="D864" s="7" t="n">
        <f>HYPERLINK("https://www.somogyi.sk/product/lampas-so-snezitkom-trblietkami-a-snehuliakom-ltn-18-17346","https://www.somogyi.sk/product/lampas-so-snezitkom-trblietkami-a-snehuliakom-ltn-18-17346")</f>
        <v>0.0</v>
      </c>
      <c r="E864" s="7" t="n">
        <f>HYPERLINK("https://www.somogyi.sk/productimages/product_main_images/small/17346.jpg","https://www.somogyi.sk/productimages/product_main_images/small/17346.jpg")</f>
        <v>0.0</v>
      </c>
      <c r="F864" s="2" t="inlineStr">
        <is>
          <t>5999084953683</t>
        </is>
      </c>
      <c r="G864" s="4" t="inlineStr">
        <is>
          <t xml:space="preserve"> • umiestnenie: na vnútorné použitie 
 • zdroj svetla: LED 
 • materiál: plastový 
 • počet zdrojov svetla: 3 
 •  
 • rozmery: 10 x 19 x 10 cm 
 • napájanie: 3 x 1,5 V AA batéria (nie je príslušenstvom)</t>
        </is>
      </c>
    </row>
    <row r="865">
      <c r="A865" s="6" t="inlineStr">
        <is>
          <t xml:space="preserve">   Vianočné dekoračné osvetlenie / Akrylové figúry</t>
        </is>
      </c>
      <c r="B865" s="6" t="inlineStr">
        <is>
          <t/>
        </is>
      </c>
      <c r="C865" s="6" t="inlineStr">
        <is>
          <t/>
        </is>
      </c>
      <c r="D865" s="6" t="inlineStr">
        <is>
          <t/>
        </is>
      </c>
      <c r="E865" s="6" t="inlineStr">
        <is>
          <t/>
        </is>
      </c>
      <c r="F865" s="6" t="inlineStr">
        <is>
          <t/>
        </is>
      </c>
      <c r="G865" s="6" t="inlineStr">
        <is>
          <t/>
        </is>
      </c>
    </row>
    <row r="866">
      <c r="A866" s="3" t="inlineStr">
        <is>
          <t>KDA 9</t>
        </is>
      </c>
      <c r="B866" s="2" t="inlineStr">
        <is>
          <t>Snehuliak z akrylu, 90 cm</t>
        </is>
      </c>
      <c r="C866" s="1" t="n">
        <v>165.9</v>
      </c>
      <c r="D866" s="7" t="n">
        <f>HYPERLINK("https://www.somogyi.sk/product/snehuliak-z-akrylu-90-cm-kda-9-16484","https://www.somogyi.sk/product/snehuliak-z-akrylu-90-cm-kda-9-16484")</f>
        <v>0.0</v>
      </c>
      <c r="E866" s="7" t="n">
        <f>HYPERLINK("https://www.somogyi.sk/productimages/product_main_images/small/16484.jpg","https://www.somogyi.sk/productimages/product_main_images/small/16484.jpg")</f>
        <v>0.0</v>
      </c>
      <c r="F866" s="2" t="inlineStr">
        <is>
          <t>5999084945169</t>
        </is>
      </c>
      <c r="G866" s="4" t="inlineStr">
        <is>
          <t xml:space="preserve"> • na vonkajšie a vnútorné použitie 
 • 80 ks studených / teplých bielych LED, možnosť vybrať 
 • maľovaná kovová konštrukcia s dekoráciou z akrylu 
 • figúrka z 3 častí 
 • napájací kábel: 10 m 
 • sieťový adaptér IP44 na vonkajšie použitie</t>
        </is>
      </c>
    </row>
    <row r="867">
      <c r="A867" s="3" t="inlineStr">
        <is>
          <t>KDA 7</t>
        </is>
      </c>
      <c r="B867" s="2" t="inlineStr">
        <is>
          <t>LED dekorácia sob</t>
        </is>
      </c>
      <c r="C867" s="1" t="n">
        <v>68.99</v>
      </c>
      <c r="D867" s="7" t="n">
        <f>HYPERLINK("https://www.somogyi.sk/product/led-dekoracia-sob-kda-7-14863","https://www.somogyi.sk/product/led-dekoracia-sob-kda-7-14863")</f>
        <v>0.0</v>
      </c>
      <c r="E867" s="7" t="n">
        <f>HYPERLINK("https://www.somogyi.sk/productimages/product_main_images/small/14863.jpg","https://www.somogyi.sk/productimages/product_main_images/small/14863.jpg")</f>
        <v>0.0</v>
      </c>
      <c r="F867" s="2" t="inlineStr">
        <is>
          <t>5999084929008</t>
        </is>
      </c>
      <c r="G867" s="4" t="inlineStr">
        <is>
          <t xml:space="preserve"> • umiestnenie: vonkajšie / vnútorné použitie 
 • zdroj svetla: LED 
 • počet zdrojov svetla: 64 ks 
 • farba zdrojov svetla: studená biela 
 • rozmery: 34 cm 
 • napájanie: 230 V~ (adaptérové)</t>
        </is>
      </c>
    </row>
    <row r="868">
      <c r="A868" s="3" t="inlineStr">
        <is>
          <t>KDA 40</t>
        </is>
      </c>
      <c r="B868" s="2" t="inlineStr">
        <is>
          <t>Sob z akrylu, na vonkajšie použitie</t>
        </is>
      </c>
      <c r="C868" s="1" t="n">
        <v>155.9</v>
      </c>
      <c r="D868" s="7" t="n">
        <f>HYPERLINK("https://www.somogyi.sk/product/sob-z-akrylu-na-vonkajsie-pouzitie-kda-40-16500","https://www.somogyi.sk/product/sob-z-akrylu-na-vonkajsie-pouzitie-kda-40-16500")</f>
        <v>0.0</v>
      </c>
      <c r="E868" s="7" t="n">
        <f>HYPERLINK("https://www.somogyi.sk/productimages/product_main_images/small/16500.jpg","https://www.somogyi.sk/productimages/product_main_images/small/16500.jpg")</f>
        <v>0.0</v>
      </c>
      <c r="F868" s="2" t="inlineStr">
        <is>
          <t>5999084945329</t>
        </is>
      </c>
      <c r="G868" s="4" t="inlineStr">
        <is>
          <t xml:space="preserve"> • umiestnenie: na vonkajšie / vnútorné použitie 
 • zdroj svetla: LED 
 • počet zdrojov svetla: 200 ks 
 • farba zdrojov svetla: studená / teplá biela LED, možnosť vybrať 
 • rozmery: 50 x 83 cm 
 • napájanie: IP44 vonkajší adaptér</t>
        </is>
      </c>
    </row>
    <row r="869">
      <c r="A869" s="3" t="inlineStr">
        <is>
          <t>KDA 30</t>
        </is>
      </c>
      <c r="B869" s="2" t="inlineStr">
        <is>
          <t>Sob z akrylu, na vonkajšie použitie</t>
        </is>
      </c>
      <c r="C869" s="1" t="n">
        <v>109.9</v>
      </c>
      <c r="D869" s="7" t="n">
        <f>HYPERLINK("https://www.somogyi.sk/product/sob-z-akrylu-na-vonkajsie-pouzitie-kda-30-16499","https://www.somogyi.sk/product/sob-z-akrylu-na-vonkajsie-pouzitie-kda-30-16499")</f>
        <v>0.0</v>
      </c>
      <c r="E869" s="7" t="n">
        <f>HYPERLINK("https://www.somogyi.sk/productimages/product_main_images/small/16499.jpg","https://www.somogyi.sk/productimages/product_main_images/small/16499.jpg")</f>
        <v>0.0</v>
      </c>
      <c r="F869" s="2" t="inlineStr">
        <is>
          <t>5999084945312</t>
        </is>
      </c>
      <c r="G869" s="4" t="inlineStr">
        <is>
          <t xml:space="preserve"> • na vonkajšie a vnútorné použitie 
 • 50 ks studených bielych / teplých bielych LED, možnosť nastaviť 
 • napájanie: sieťový adaptér IP44 na vonkajšie použitie</t>
        </is>
      </c>
    </row>
    <row r="870">
      <c r="A870" s="3" t="inlineStr">
        <is>
          <t>KDA 6</t>
        </is>
      </c>
      <c r="B870" s="2" t="inlineStr">
        <is>
          <t>Dekorácia ľadový medveď</t>
        </is>
      </c>
      <c r="C870" s="1" t="n">
        <v>132.9</v>
      </c>
      <c r="D870" s="7" t="n">
        <f>HYPERLINK("https://www.somogyi.sk/product/dekoracia-ladovy-medved-kda-6-14040","https://www.somogyi.sk/product/dekoracia-ladovy-medved-kda-6-14040")</f>
        <v>0.0</v>
      </c>
      <c r="E870" s="7" t="n">
        <f>HYPERLINK("https://www.somogyi.sk/productimages/product_main_images/small/14040.jpg","https://www.somogyi.sk/productimages/product_main_images/small/14040.jpg")</f>
        <v>0.0</v>
      </c>
      <c r="F870" s="2" t="inlineStr">
        <is>
          <t>5999084920920</t>
        </is>
      </c>
      <c r="G870" s="4" t="inlineStr">
        <is>
          <t xml:space="preserve"> • umiestnenie: vonkajšie / vnútorné použitie 
 • zdroj svetla: LED 
 • počet zdrojov svetla: 120 ks 
 • farba zdrojov svetla: studená biela 
 • rozmery: 42 cm 
 • napájanie: 230 V~ (adaptérové)</t>
        </is>
      </c>
    </row>
    <row r="871">
      <c r="A871" s="3" t="inlineStr">
        <is>
          <t>KDA 11</t>
        </is>
      </c>
      <c r="B871" s="2" t="inlineStr">
        <is>
          <t>Mikuláš z akrylu</t>
        </is>
      </c>
      <c r="C871" s="1" t="n">
        <v>14.99</v>
      </c>
      <c r="D871" s="7" t="n">
        <f>HYPERLINK("https://www.somogyi.sk/product/mikulas-z-akrylu-kda-11-16975","https://www.somogyi.sk/product/mikulas-z-akrylu-kda-11-16975")</f>
        <v>0.0</v>
      </c>
      <c r="E871" s="7" t="n">
        <f>HYPERLINK("https://www.somogyi.sk/productimages/product_main_images/small/16975.jpg","https://www.somogyi.sk/productimages/product_main_images/small/16975.jpg")</f>
        <v>0.0</v>
      </c>
      <c r="F871" s="2" t="inlineStr">
        <is>
          <t>5999084950071</t>
        </is>
      </c>
      <c r="G871" s="4" t="inlineStr">
        <is>
          <t xml:space="preserve"> • umiestnenie: na vonkajšie / vnútorné použitie 
 • zdroj svetla: LED 
 • počet zdrojov svetla: 16 ks 
 • farba zdrojov svetla: studená biela 
 • rozmery: 16 x 23 x 10 cm 
 • napájanie: sieťový adaptér IP44 na vonkajšie použitie</t>
        </is>
      </c>
    </row>
    <row r="872">
      <c r="A872" s="6" t="inlineStr">
        <is>
          <t xml:space="preserve">   Vianočné dekoračné osvetlenie / Dekorácia</t>
        </is>
      </c>
      <c r="B872" s="6" t="inlineStr">
        <is>
          <t/>
        </is>
      </c>
      <c r="C872" s="6" t="inlineStr">
        <is>
          <t/>
        </is>
      </c>
      <c r="D872" s="6" t="inlineStr">
        <is>
          <t/>
        </is>
      </c>
      <c r="E872" s="6" t="inlineStr">
        <is>
          <t/>
        </is>
      </c>
      <c r="F872" s="6" t="inlineStr">
        <is>
          <t/>
        </is>
      </c>
      <c r="G872" s="6" t="inlineStr">
        <is>
          <t/>
        </is>
      </c>
    </row>
    <row r="873">
      <c r="A873" s="3" t="inlineStr">
        <is>
          <t>TAP 10</t>
        </is>
      </c>
      <c r="B873" s="2" t="inlineStr">
        <is>
          <t>Prísavka, 5 ks</t>
        </is>
      </c>
      <c r="C873" s="1" t="n">
        <v>2.09</v>
      </c>
      <c r="D873" s="7" t="n">
        <f>HYPERLINK("https://www.somogyi.sk/product/prisavka-5-ks-tap-10-8610","https://www.somogyi.sk/product/prisavka-5-ks-tap-10-8610")</f>
        <v>0.0</v>
      </c>
      <c r="E873" s="7" t="n">
        <f>HYPERLINK("https://www.somogyi.sk/productimages/product_main_images/small/08610.jpg","https://www.somogyi.sk/productimages/product_main_images/small/08610.jpg")</f>
        <v>0.0</v>
      </c>
      <c r="F873" s="2" t="inlineStr">
        <is>
          <t>5998312775035</t>
        </is>
      </c>
      <c r="G873" s="4" t="inlineStr">
        <is>
          <t xml:space="preserve"> • umiestnenie: vonkajšie / vnútorné použitie 
 • ďalšie informácie: 5 ks, priesvitná</t>
        </is>
      </c>
    </row>
    <row r="874">
      <c r="A874" s="3" t="inlineStr">
        <is>
          <t>KKD 107</t>
        </is>
      </c>
      <c r="B874" s="2" t="inlineStr">
        <is>
          <t>LED dekorácia, snehuliak, 17cm, 4,5V</t>
        </is>
      </c>
      <c r="C874" s="1" t="n">
        <v>3.69</v>
      </c>
      <c r="D874" s="7" t="n">
        <f>HYPERLINK("https://www.somogyi.sk/product/led-dekoracia-snehuliak-17cm-4-5v-kkd-107-9834","https://www.somogyi.sk/product/led-dekoracia-snehuliak-17cm-4-5v-kkd-107-9834")</f>
        <v>0.0</v>
      </c>
      <c r="E874" s="7" t="n">
        <f>HYPERLINK("https://www.somogyi.sk/productimages/product_main_images/small/09834.jpg","https://www.somogyi.sk/productimages/product_main_images/small/09834.jpg")</f>
        <v>0.0</v>
      </c>
      <c r="F874" s="2" t="inlineStr">
        <is>
          <t>5998312785560</t>
        </is>
      </c>
      <c r="G874" s="4" t="inlineStr">
        <is>
          <t xml:space="preserve"> • umiestnenie: vnútorné použitie 
 • zdroj svetla: LED 
 • počet zdrojov svetla: 1 ks 
 • farba zdrojov svetla: farbu meniaca 
 • funkcie: ustavičná zmena farieb 
 • rozmery: 17 cm 
 • napájanie: 3 x AG13 (príslušenstvo) 
 • ďalšie informácie: základný materiál EVA, za/vyínač</t>
        </is>
      </c>
    </row>
    <row r="875">
      <c r="A875" s="3" t="inlineStr">
        <is>
          <t>KT 250/BL</t>
        </is>
      </c>
      <c r="B875" s="2" t="inlineStr">
        <is>
          <t>Vianočná deka pod stromček, modrá</t>
        </is>
      </c>
      <c r="C875" s="1" t="n">
        <v>1.99</v>
      </c>
      <c r="D875" s="7" t="n">
        <f>HYPERLINK("https://www.somogyi.sk/product/vianocna-deka-pod-stromcek-modra-kt-250-bl-9951","https://www.somogyi.sk/product/vianocna-deka-pod-stromcek-modra-kt-250-bl-9951")</f>
        <v>0.0</v>
      </c>
      <c r="E875" s="7" t="n">
        <f>HYPERLINK("https://www.somogyi.sk/productimages/product_main_images/small/09951.jpg","https://www.somogyi.sk/productimages/product_main_images/small/09951.jpg")</f>
        <v>0.0</v>
      </c>
      <c r="F875" s="2" t="inlineStr">
        <is>
          <t>5998312786673</t>
        </is>
      </c>
      <c r="G875" s="4" t="inlineStr">
        <is>
          <t xml:space="preserve"> • umiestnenie: vnútorné použitie 
 • ďalšie informácie: nie tkaný materiál, ale fleecový materiál, doporučené k stromčeku vysokému max.  250 cm, modrý základ, strieborno-sivé hviezdy</t>
        </is>
      </c>
    </row>
    <row r="876">
      <c r="A876" s="3" t="inlineStr">
        <is>
          <t>DRM 14</t>
        </is>
      </c>
      <c r="B876" s="2" t="inlineStr">
        <is>
          <t>Dekorácia krb</t>
        </is>
      </c>
      <c r="C876" s="1" t="n">
        <v>36.99</v>
      </c>
      <c r="D876" s="7" t="n">
        <f>HYPERLINK("https://www.somogyi.sk/product/dekoracia-krb-drm-14-17367","https://www.somogyi.sk/product/dekoracia-krb-drm-14-17367")</f>
        <v>0.0</v>
      </c>
      <c r="E876" s="7" t="n">
        <f>HYPERLINK("https://www.somogyi.sk/productimages/product_main_images/small/17367.jpg","https://www.somogyi.sk/productimages/product_main_images/small/17367.jpg")</f>
        <v>0.0</v>
      </c>
      <c r="F876" s="2" t="inlineStr">
        <is>
          <t>5999084953898</t>
        </is>
      </c>
      <c r="G876" s="4" t="inlineStr">
        <is>
          <t xml:space="preserve"> • na vnútorné použitie 
 • svetelný efekt krbu 
 • otáčajúci sa stromček, Mikuláš 
 • napájanie: 3 x 1,5 V (AA) batéria, nie je príslušenstvom</t>
        </is>
      </c>
    </row>
    <row r="877">
      <c r="A877" s="3" t="inlineStr">
        <is>
          <t>DRM 15</t>
        </is>
      </c>
      <c r="B877" s="2" t="inlineStr">
        <is>
          <t>Dekorácia zasnežený dom</t>
        </is>
      </c>
      <c r="C877" s="1" t="n">
        <v>51.99</v>
      </c>
      <c r="D877" s="7" t="n">
        <f>HYPERLINK("https://www.somogyi.sk/product/dekoracia-zasnezeny-dom-drm-15-17368","https://www.somogyi.sk/product/dekoracia-zasnezeny-dom-drm-15-17368")</f>
        <v>0.0</v>
      </c>
      <c r="E877" s="7" t="n">
        <f>HYPERLINK("https://www.somogyi.sk/productimages/product_main_images/small/17368.jpg","https://www.somogyi.sk/productimages/product_main_images/small/17368.jpg")</f>
        <v>0.0</v>
      </c>
      <c r="F877" s="2" t="inlineStr">
        <is>
          <t>5999084953904</t>
        </is>
      </c>
      <c r="G877" s="4" t="inlineStr">
        <is>
          <t xml:space="preserve"> • na vnútorné použitie 
 • farebné LED 
 • sane so sobom 
 • napájanie: 3 x 1,5 V (AA) batéria, nie je príslušenstvom</t>
        </is>
      </c>
    </row>
    <row r="878">
      <c r="A878" s="3" t="inlineStr">
        <is>
          <t>DRM 16</t>
        </is>
      </c>
      <c r="B878" s="2" t="inlineStr">
        <is>
          <t>Dekorácia, biely domček</t>
        </is>
      </c>
      <c r="C878" s="1" t="n">
        <v>86.99</v>
      </c>
      <c r="D878" s="7" t="n">
        <f>HYPERLINK("https://www.somogyi.sk/product/dekoracia-biely-domcek-drm-16-17369","https://www.somogyi.sk/product/dekoracia-biely-domcek-drm-16-17369")</f>
        <v>0.0</v>
      </c>
      <c r="E878" s="7" t="n">
        <f>HYPERLINK("https://www.somogyi.sk/productimages/product_main_images/small/17369.jpg","https://www.somogyi.sk/productimages/product_main_images/small/17369.jpg")</f>
        <v>0.0</v>
      </c>
      <c r="F878" s="2" t="inlineStr">
        <is>
          <t>5999084953911</t>
        </is>
      </c>
      <c r="G878" s="4" t="inlineStr">
        <is>
          <t xml:space="preserve"> • umiestnenie: na vnútorné použitie 
 • zdroj svetla: LED 
 • farba zdrojov svetla: biela farba 
 • napájanie: sieťový adaptér na vnútorné použitie je príslušenstvom</t>
        </is>
      </c>
    </row>
    <row r="879">
      <c r="A879" s="3" t="inlineStr">
        <is>
          <t>KDC 48</t>
        </is>
      </c>
      <c r="B879" s="2" t="inlineStr">
        <is>
          <t>LED keramická dekorácia</t>
        </is>
      </c>
      <c r="C879" s="1" t="n">
        <v>50.99</v>
      </c>
      <c r="D879" s="7" t="n">
        <f>HYPERLINK("https://www.somogyi.sk/product/led-keramicka-dekoracia-kdc-48-17010","https://www.somogyi.sk/product/led-keramicka-dekoracia-kdc-48-17010")</f>
        <v>0.0</v>
      </c>
      <c r="E879" s="7" t="n">
        <f>HYPERLINK("https://www.somogyi.sk/productimages/product_main_images/small/17010.jpg","https://www.somogyi.sk/productimages/product_main_images/small/17010.jpg")</f>
        <v>0.0</v>
      </c>
      <c r="F879" s="2" t="inlineStr">
        <is>
          <t>5999084950422</t>
        </is>
      </c>
      <c r="G879" s="4" t="inlineStr">
        <is>
          <t xml:space="preserve"> • umiestnenie: na vnútorné použitie 
 • zdroj svetla: LED 
 • farba zdrojov svetla: teplá biela 
 • rozmery: 34 x 66 x 17 cm 
 • napájanie: 3 x AA batéria (je príslušenstvom)</t>
        </is>
      </c>
    </row>
    <row r="880">
      <c r="A880" s="3" t="inlineStr">
        <is>
          <t>KDC 29</t>
        </is>
      </c>
      <c r="B880" s="2" t="inlineStr">
        <is>
          <t>LED keramická figúrka</t>
        </is>
      </c>
      <c r="C880" s="1" t="n">
        <v>68.99</v>
      </c>
      <c r="D880" s="7" t="n">
        <f>HYPERLINK("https://www.somogyi.sk/product/led-keramicka-figurka-kdc-29-16997","https://www.somogyi.sk/product/led-keramicka-figurka-kdc-29-16997")</f>
        <v>0.0</v>
      </c>
      <c r="E880" s="7" t="n">
        <f>HYPERLINK("https://www.somogyi.sk/productimages/product_main_images/small/16997.jpg","https://www.somogyi.sk/productimages/product_main_images/small/16997.jpg")</f>
        <v>0.0</v>
      </c>
      <c r="F880" s="2" t="inlineStr">
        <is>
          <t>5999084950293</t>
        </is>
      </c>
      <c r="G880" s="4" t="inlineStr">
        <is>
          <t xml:space="preserve"> • umiestnenie: na vnútorné použitie 
 • zdroj svetla: LED 
 • počet zdrojov svetla: 12 ks 
 • farba zdrojov svetla: teplá biela 
 • rozmery: 41 x 56,7 x 21,5 cm 
 • napájanie: 3 x 1,5 V (AA) batéria, nie je príslušenstvom</t>
        </is>
      </c>
    </row>
    <row r="881">
      <c r="A881" s="3" t="inlineStr">
        <is>
          <t>KDC 27</t>
        </is>
      </c>
      <c r="B881" s="2" t="inlineStr">
        <is>
          <t>Keramická-plyšová dekorácia</t>
        </is>
      </c>
      <c r="C881" s="1" t="n">
        <v>7.49</v>
      </c>
      <c r="D881" s="7" t="n">
        <f>HYPERLINK("https://www.somogyi.sk/product/keramicka-plysova-dekoracia-kdc-27-16995","https://www.somogyi.sk/product/keramicka-plysova-dekoracia-kdc-27-16995")</f>
        <v>0.0</v>
      </c>
      <c r="E881" s="7" t="n">
        <f>HYPERLINK("https://www.somogyi.sk/productimages/product_main_images/small/16995.jpg","https://www.somogyi.sk/productimages/product_main_images/small/16995.jpg")</f>
        <v>0.0</v>
      </c>
      <c r="F881" s="2" t="inlineStr">
        <is>
          <t>5999084950279</t>
        </is>
      </c>
      <c r="G881" s="4" t="inlineStr">
        <is>
          <t xml:space="preserve"> • umiestnenie: na vnútorné použitie 
 • zdroj svetla: LED 
 • počet zdrojov svetla: 1 ks 
 • farba zdrojov svetla: teplá biela 
 • rozmery: 8 x 26 x 8 cm 
 • napájanie: 2 x 1,5 V (LR44) gombíková batéria, je príslušenstvom</t>
        </is>
      </c>
    </row>
    <row r="882">
      <c r="A882" s="3" t="inlineStr">
        <is>
          <t>DRM 13</t>
        </is>
      </c>
      <c r="B882" s="2" t="inlineStr">
        <is>
          <t>Dekorácia, Mikuláš</t>
        </is>
      </c>
      <c r="C882" s="1" t="n">
        <v>48.99</v>
      </c>
      <c r="D882" s="7" t="n">
        <f>HYPERLINK("https://www.somogyi.sk/product/dekoracia-mikulas-drm-13-16991","https://www.somogyi.sk/product/dekoracia-mikulas-drm-13-16991")</f>
        <v>0.0</v>
      </c>
      <c r="E882" s="7" t="n">
        <f>HYPERLINK("https://www.somogyi.sk/productimages/product_main_images/small/16991.jpg","https://www.somogyi.sk/productimages/product_main_images/small/16991.jpg")</f>
        <v>0.0</v>
      </c>
      <c r="F882" s="2" t="inlineStr">
        <is>
          <t>5999084950231</t>
        </is>
      </c>
      <c r="G882" s="4" t="inlineStr">
        <is>
          <t xml:space="preserve"> • umiestnenie: na vnútorné použitie 
 • zdroj svetla: LED 
 • farba zdrojov svetla: farebná 
 • rozmery: 24 x 31 x 15 cm 
 • napájanie: 3 x 1,5 V (AA) batéria, nie je príslušenstvom</t>
        </is>
      </c>
    </row>
    <row r="883">
      <c r="A883" s="3" t="inlineStr">
        <is>
          <t>GLE 20/WW</t>
        </is>
      </c>
      <c r="B883" s="2" t="inlineStr">
        <is>
          <t>Dekorácia, EVA guľa</t>
        </is>
      </c>
      <c r="C883" s="1" t="n">
        <v>18.99</v>
      </c>
      <c r="D883" s="7" t="n">
        <f>HYPERLINK("https://www.somogyi.sk/product/dekoracia-eva-gula-gle-20-ww-14730","https://www.somogyi.sk/product/dekoracia-eva-gula-gle-20-ww-14730")</f>
        <v>0.0</v>
      </c>
      <c r="E883" s="7" t="n">
        <f>HYPERLINK("https://www.somogyi.sk/productimages/product_main_images/small/14730.jpg","https://www.somogyi.sk/productimages/product_main_images/small/14730.jpg")</f>
        <v>0.0</v>
      </c>
      <c r="F883" s="2" t="inlineStr">
        <is>
          <t>5999084927721</t>
        </is>
      </c>
      <c r="G883" s="4" t="inlineStr">
        <is>
          <t xml:space="preserve"> • umiestnenie: vnútorné použitie 
 • zdroj svetla: LED 
 • počet zdrojov svetla: 2 ks 
 • farba zdrojov svetla: teplá biela 
 • rozmery: Ø20 cm 
 • napájanie: 3 x AA batéria (nie je príslušenstvom) 
 • ďalšie informácie: základný materiál z pružného EVA materiálu</t>
        </is>
      </c>
    </row>
    <row r="884">
      <c r="A884" s="3" t="inlineStr">
        <is>
          <t>GLE 15/WW</t>
        </is>
      </c>
      <c r="B884" s="2" t="inlineStr">
        <is>
          <t>Dekorácia, EVA guľa</t>
        </is>
      </c>
      <c r="C884" s="1" t="n">
        <v>11.99</v>
      </c>
      <c r="D884" s="7" t="n">
        <f>HYPERLINK("https://www.somogyi.sk/product/dekoracia-eva-gula-gle-15-ww-14731","https://www.somogyi.sk/product/dekoracia-eva-gula-gle-15-ww-14731")</f>
        <v>0.0</v>
      </c>
      <c r="E884" s="7" t="n">
        <f>HYPERLINK("https://www.somogyi.sk/productimages/product_main_images/small/14731.jpg","https://www.somogyi.sk/productimages/product_main_images/small/14731.jpg")</f>
        <v>0.0</v>
      </c>
      <c r="F884" s="2" t="inlineStr">
        <is>
          <t>5999084927738</t>
        </is>
      </c>
      <c r="G884" s="4" t="inlineStr">
        <is>
          <t xml:space="preserve"> • umiestnenie: vnútorné použitie 
 • zdroj svetla: LED 
 • počet zdrojov svetla: 2 ks 
 • farba zdrojov svetla: teplá biela 
 • rozmery: Ø15 cm 
 • napájanie: 3 x AA batéria (nie je príslušenstvom) 
 • ďalšie informácie: základný materiál z pružného EVA materiálu</t>
        </is>
      </c>
    </row>
    <row r="885">
      <c r="A885" s="3" t="inlineStr">
        <is>
          <t>DECO 5</t>
        </is>
      </c>
      <c r="B885" s="2" t="inlineStr">
        <is>
          <t>Dekorácia k svetiacemu reťazcu, kocka, 50 ks, na LED Ø5 mm</t>
        </is>
      </c>
      <c r="C885" s="1" t="n">
        <v>2.79</v>
      </c>
      <c r="D885" s="7" t="n">
        <f>HYPERLINK("https://www.somogyi.sk/product/dekoracia-k-svetiacemu-retazcu-kocka-50-ks-na-led-5-mm-deco-5-14850","https://www.somogyi.sk/product/dekoracia-k-svetiacemu-retazcu-kocka-50-ks-na-led-5-mm-deco-5-14850")</f>
        <v>0.0</v>
      </c>
      <c r="E885" s="7" t="n">
        <f>HYPERLINK("https://www.somogyi.sk/productimages/product_main_images/small/14850.jpg","https://www.somogyi.sk/productimages/product_main_images/small/14850.jpg")</f>
        <v>0.0</v>
      </c>
      <c r="F885" s="2" t="inlineStr">
        <is>
          <t>5999084928872</t>
        </is>
      </c>
      <c r="G885" s="4" t="inlineStr">
        <is>
          <t xml:space="preserve"> • umiestnenie: vonkajšie / vnútorné použitie 
 • rozmery: 22 x 15 mm 
 • ďalšie informácie: 50 ks kociek na LED s Ø5 mm</t>
        </is>
      </c>
    </row>
    <row r="886">
      <c r="A886" s="3" t="inlineStr">
        <is>
          <t>KAD 19 PINE</t>
        </is>
      </c>
      <c r="B886" s="2" t="inlineStr">
        <is>
          <t>LED stolová dekorácia, stromček, 4,5V</t>
        </is>
      </c>
      <c r="C886" s="1" t="n">
        <v>11.99</v>
      </c>
      <c r="D886" s="7" t="n">
        <f>HYPERLINK("https://www.somogyi.sk/product/led-stolova-dekoracia-stromcek-4-5v-kad-19-pine-14862","https://www.somogyi.sk/product/led-stolova-dekoracia-stromcek-4-5v-kad-19-pine-14862")</f>
        <v>0.0</v>
      </c>
      <c r="E886" s="7" t="n">
        <f>HYPERLINK("https://www.somogyi.sk/productimages/product_main_images/small/14862.jpg","https://www.somogyi.sk/productimages/product_main_images/small/14862.jpg")</f>
        <v>0.0</v>
      </c>
      <c r="F886" s="2" t="inlineStr">
        <is>
          <t>5999084928995</t>
        </is>
      </c>
      <c r="G886" s="4" t="inlineStr">
        <is>
          <t xml:space="preserve"> • umiestnenie: vnútorné použitie 
 • zdroj svetla: LED 
 • počet zdrojov svetla: 20 ks 
 • farba zdrojov svetla: teplá biela 
 • rozmery: 39 cm 
 • napájanie: 3 x AA batéria (nie je príslušenstvom) 
 • ďalšie informácie: ABS plast</t>
        </is>
      </c>
    </row>
    <row r="887">
      <c r="A887" s="3" t="inlineStr">
        <is>
          <t>KAD 20 STAR</t>
        </is>
      </c>
      <c r="B887" s="2" t="inlineStr">
        <is>
          <t>LED stolová dekorácia, hviezda 4,5V</t>
        </is>
      </c>
      <c r="C887" s="1" t="n">
        <v>11.99</v>
      </c>
      <c r="D887" s="7" t="n">
        <f>HYPERLINK("https://www.somogyi.sk/product/led-stolova-dekoracia-hviezda-4-5v-kad-20-star-14868","https://www.somogyi.sk/product/led-stolova-dekoracia-hviezda-4-5v-kad-20-star-14868")</f>
        <v>0.0</v>
      </c>
      <c r="E887" s="7" t="n">
        <f>HYPERLINK("https://www.somogyi.sk/productimages/product_main_images/small/14868.jpg","https://www.somogyi.sk/productimages/product_main_images/small/14868.jpg")</f>
        <v>0.0</v>
      </c>
      <c r="F887" s="2" t="inlineStr">
        <is>
          <t>5999084929053</t>
        </is>
      </c>
      <c r="G887" s="4" t="inlineStr">
        <is>
          <t xml:space="preserve"> • umiestnenie: vnútorné použitie 
 • zdroj svetla: LED 
 • počet zdrojov svetla: 20 ks 
 • farba zdrojov svetla: teplá biela 
 • rozmery: 39 cm 
 • napájanie: 3 x AA batéria (nie je príslušenstvom) 
 • ďalšie informácie: ABS plast</t>
        </is>
      </c>
    </row>
    <row r="888">
      <c r="A888" s="3" t="inlineStr">
        <is>
          <t>KLB 120/SL</t>
        </is>
      </c>
      <c r="B888" s="2" t="inlineStr">
        <is>
          <t>Svietiaca vetva, strieborná, 120 cm, 40 LED</t>
        </is>
      </c>
      <c r="C888" s="1" t="n">
        <v>31.99</v>
      </c>
      <c r="D888" s="7" t="n">
        <f>HYPERLINK("https://www.somogyi.sk/product/svietiaca-vetva-strieborna-120-cm-40-led-klb-120-sl-17728","https://www.somogyi.sk/product/svietiaca-vetva-strieborna-120-cm-40-led-klb-120-sl-17728")</f>
        <v>0.0</v>
      </c>
      <c r="E888" s="7" t="n">
        <f>HYPERLINK("https://www.somogyi.sk/productimages/product_main_images/small/17728.jpg","https://www.somogyi.sk/productimages/product_main_images/small/17728.jpg")</f>
        <v>0.0</v>
      </c>
      <c r="F888" s="2" t="inlineStr">
        <is>
          <t>5999084957506</t>
        </is>
      </c>
      <c r="G888" s="4" t="inlineStr">
        <is>
          <t xml:space="preserve"> • umiestnenie: na vnútorné použitie 
 • zdroj svetla: LED 
 • počet zdrojov svetla: 40 ks 
 • farba zdrojov svetla: teplá biela 
 • rozmery: výška: cca. 120 cm 
 • napájanie: 3 x 1,5 V (AA) batéria, nie je príslušenstvom</t>
        </is>
      </c>
    </row>
    <row r="889">
      <c r="A889" s="3" t="inlineStr">
        <is>
          <t>KLB 120/WH</t>
        </is>
      </c>
      <c r="B889" s="2" t="inlineStr">
        <is>
          <t>Svietiaca vetva, biela, 120 cm, 40 LED</t>
        </is>
      </c>
      <c r="C889" s="1" t="n">
        <v>31.99</v>
      </c>
      <c r="D889" s="7" t="n">
        <f>HYPERLINK("https://www.somogyi.sk/product/svietiaca-vetva-biela-120-cm-40-led-klb-120-wh-17729","https://www.somogyi.sk/product/svietiaca-vetva-biela-120-cm-40-led-klb-120-wh-17729")</f>
        <v>0.0</v>
      </c>
      <c r="E889" s="7" t="n">
        <f>HYPERLINK("https://www.somogyi.sk/productimages/product_main_images/small/17729.jpg","https://www.somogyi.sk/productimages/product_main_images/small/17729.jpg")</f>
        <v>0.0</v>
      </c>
      <c r="F889" s="2" t="inlineStr">
        <is>
          <t>5999084957513</t>
        </is>
      </c>
      <c r="G889" s="4" t="inlineStr">
        <is>
          <t xml:space="preserve"> • umiestnenie: na vnútorné použitie 
 • zdroj svetla: LED 
 • počet zdrojov svetla: 40 ks 
 • farba zdrojov svetla: teplá biela 
 • rozmery: výška: cca. 120 cm 
 • napájanie: 3 x 1,5 V (AA) batéria, nie je príslušenstvom</t>
        </is>
      </c>
    </row>
    <row r="890">
      <c r="A890" s="3" t="inlineStr">
        <is>
          <t>NEON 1</t>
        </is>
      </c>
      <c r="B890" s="2" t="inlineStr">
        <is>
          <t>Neon-light kométa, 31x64 cm</t>
        </is>
      </c>
      <c r="C890" s="1" t="n">
        <v>35.99</v>
      </c>
      <c r="D890" s="7" t="n">
        <f>HYPERLINK("https://www.somogyi.sk/product/neon-light-kometa-31x64-cm-neon-1-17740","https://www.somogyi.sk/product/neon-light-kometa-31x64-cm-neon-1-17740")</f>
        <v>0.0</v>
      </c>
      <c r="E890" s="7" t="n">
        <f>HYPERLINK("https://www.somogyi.sk/productimages/product_main_images/small/17740.jpg","https://www.somogyi.sk/productimages/product_main_images/small/17740.jpg")</f>
        <v>0.0</v>
      </c>
      <c r="F890" s="2" t="inlineStr">
        <is>
          <t>5999084957629</t>
        </is>
      </c>
      <c r="G890" s="4" t="inlineStr">
        <is>
          <t xml:space="preserve"> • umiestnenie: na vonkajšie / vnútorné použitie 
 • zdroj svetla: LED 
 • farba zdrojov svetla: ľadovo modrý neon light 
 • farba kábla: čierny gumový kábel (1,5 m) 
 • rozmery: 65 cm x 25 cm 
 • napájanie: 230 V~ / 50 Hz 
 • ďalšie informácie: svieti na oboch stranách figúrky • kovový rám • vonkajšia pripojovacia vidlica IP44</t>
        </is>
      </c>
    </row>
    <row r="891">
      <c r="A891" s="3" t="inlineStr">
        <is>
          <t>NEON 2</t>
        </is>
      </c>
      <c r="B891" s="2" t="inlineStr">
        <is>
          <t>Neon-light snehová vločka, 59x53cm</t>
        </is>
      </c>
      <c r="C891" s="1" t="n">
        <v>60.99</v>
      </c>
      <c r="D891" s="7" t="n">
        <f>HYPERLINK("https://www.somogyi.sk/product/neon-light-snehova-vlocka-59x53cm-neon-2-17741","https://www.somogyi.sk/product/neon-light-snehova-vlocka-59x53cm-neon-2-17741")</f>
        <v>0.0</v>
      </c>
      <c r="E891" s="7" t="n">
        <f>HYPERLINK("https://www.somogyi.sk/productimages/product_main_images/small/17741.jpg","https://www.somogyi.sk/productimages/product_main_images/small/17741.jpg")</f>
        <v>0.0</v>
      </c>
      <c r="F891" s="2" t="inlineStr">
        <is>
          <t>5999084957636</t>
        </is>
      </c>
      <c r="G891" s="4" t="inlineStr">
        <is>
          <t xml:space="preserve"> • umiestnenie: na vonkajšie / vnútorné použitie 
 • zdroj svetla: LED 
 • farba zdrojov svetla: ľadovo modrý neon light 
 • farba kábla: čierny gumový kábel (1,5 m) 
 • rozmery: 52 cm x 59 cm 
 • napájanie: 230 V~ / 50 Hz 
 • ďalšie informácie: svieti na oboch stranách figúrky • kovový rám • vonkajšia pripojovacia vidlica IP44</t>
        </is>
      </c>
    </row>
    <row r="892">
      <c r="A892" s="3" t="inlineStr">
        <is>
          <t>NEON 3</t>
        </is>
      </c>
      <c r="B892" s="2" t="inlineStr">
        <is>
          <t>Neon-light dvojitá hviezda, 55x54cm</t>
        </is>
      </c>
      <c r="C892" s="1" t="n">
        <v>48.99</v>
      </c>
      <c r="D892" s="7" t="n">
        <f>HYPERLINK("https://www.somogyi.sk/product/neon-light-dvojita-hviezda-55x54cm-neon-3-17742","https://www.somogyi.sk/product/neon-light-dvojita-hviezda-55x54cm-neon-3-17742")</f>
        <v>0.0</v>
      </c>
      <c r="E892" s="7" t="n">
        <f>HYPERLINK("https://www.somogyi.sk/productimages/product_main_images/small/17742.jpg","https://www.somogyi.sk/productimages/product_main_images/small/17742.jpg")</f>
        <v>0.0</v>
      </c>
      <c r="F892" s="2" t="inlineStr">
        <is>
          <t>5999084957643</t>
        </is>
      </c>
      <c r="G892" s="4" t="inlineStr">
        <is>
          <t xml:space="preserve"> • umiestnenie: na vonkajšie / vnútorné použitie 
 • zdroj svetla: LED 
 • farba zdrojov svetla: ľadovo modrý a žltý neon light 
 • farba kábla: čierny gumový kábel (1,5 m) 
 • rozmery: 55 cm x 52 cm 
 • napájanie: 230 V~ / 50 Hz 
 • ďalšie informácie: svieti na oboch stranách figúrky • kovový rám • vonkajšia pripojovacia vidlica IP44</t>
        </is>
      </c>
    </row>
    <row r="893">
      <c r="A893" s="3" t="inlineStr">
        <is>
          <t>NEON 4</t>
        </is>
      </c>
      <c r="B893" s="2" t="inlineStr">
        <is>
          <t>Neon-light sob, 94x56cm</t>
        </is>
      </c>
      <c r="C893" s="1" t="n">
        <v>76.99</v>
      </c>
      <c r="D893" s="7" t="n">
        <f>HYPERLINK("https://www.somogyi.sk/product/neon-light-sob-94x56cm-neon-4-17743","https://www.somogyi.sk/product/neon-light-sob-94x56cm-neon-4-17743")</f>
        <v>0.0</v>
      </c>
      <c r="E893" s="7" t="n">
        <f>HYPERLINK("https://www.somogyi.sk/productimages/product_main_images/small/17743.jpg","https://www.somogyi.sk/productimages/product_main_images/small/17743.jpg")</f>
        <v>0.0</v>
      </c>
      <c r="F893" s="2" t="inlineStr">
        <is>
          <t>5999084957650</t>
        </is>
      </c>
      <c r="G893" s="4" t="inlineStr">
        <is>
          <t xml:space="preserve"> • umiestnenie: na vonkajšie / vnútorné použitie 
 • zdroj svetla: LED 
 • farba kábla: čierny gumový kábel (1,5 m) 
 • rozmery: 55 cm x 94 cm 
 • napájanie: 230 V~ / 50 Hz 
 • ďalšie informácie: svieti na oboch stranách figúrky • kovový rám s podperou • vonkajšia pripojovacia vidlica IP44</t>
        </is>
      </c>
    </row>
    <row r="894">
      <c r="A894" s="3" t="inlineStr">
        <is>
          <t>ROPE 1</t>
        </is>
      </c>
      <c r="B894" s="2" t="inlineStr">
        <is>
          <t>Sob rope-light, 85x98,5 cm</t>
        </is>
      </c>
      <c r="C894" s="1" t="n">
        <v>115.9</v>
      </c>
      <c r="D894" s="7" t="n">
        <f>HYPERLINK("https://www.somogyi.sk/product/sob-rope-light-85x98-5-cm-rope-1-17744","https://www.somogyi.sk/product/sob-rope-light-85x98-5-cm-rope-1-17744")</f>
        <v>0.0</v>
      </c>
      <c r="E894" s="7" t="n">
        <f>HYPERLINK("https://www.somogyi.sk/productimages/product_main_images/small/17744.jpg","https://www.somogyi.sk/productimages/product_main_images/small/17744.jpg")</f>
        <v>0.0</v>
      </c>
      <c r="F894" s="2" t="inlineStr">
        <is>
          <t>5999084957667</t>
        </is>
      </c>
      <c r="G894" s="4" t="inlineStr">
        <is>
          <t xml:space="preserve"> • umiestnenie: na vonkajšie / vnútorné použitie 
 • zdroj svetla: LED 
 • farba zdrojov svetla: jantárová 
 • farba kábla: čierny gumový kábel (1,5 m) 
 • napájanie: 230 V~ / 50 Hz (vonkajšia IP44 pripojovacia vidlica)</t>
        </is>
      </c>
    </row>
    <row r="895">
      <c r="A895" s="3" t="inlineStr">
        <is>
          <t>CDM 12</t>
        </is>
      </c>
      <c r="B895" s="2" t="inlineStr">
        <is>
          <t>LED dekorácia na stôl, stromček</t>
        </is>
      </c>
      <c r="C895" s="1" t="n">
        <v>2.49</v>
      </c>
      <c r="D895" s="7" t="n">
        <f>HYPERLINK("https://www.somogyi.sk/product/led-dekoracia-na-stol-stromcek-cdm-12-15637","https://www.somogyi.sk/product/led-dekoracia-na-stol-stromcek-cdm-12-15637")</f>
        <v>0.0</v>
      </c>
      <c r="E895" s="7" t="n">
        <f>HYPERLINK("https://www.somogyi.sk/productimages/product_main_images/small/15637.jpg","https://www.somogyi.sk/productimages/product_main_images/small/15637.jpg")</f>
        <v>0.0</v>
      </c>
      <c r="F895" s="2" t="inlineStr">
        <is>
          <t>5999084936716</t>
        </is>
      </c>
      <c r="G895" s="4" t="inlineStr">
        <is>
          <t xml:space="preserve"> • umiestnenie: na vnútorné použitie 
 • zdroj svetla: LED 
 • počet zdrojov svetla: 1 ks 
 • farba zdrojov svetla: zmena farieb 
 • funkcie: priebežná zmena farieb 
 • rozmery: Ø5,5 x 12 cm 
 • napájanie: 2 x LR 44 (je príslušenstvom) 
 • ďalšie informácie: 3D akrylová dekorácia, za- / vypínač</t>
        </is>
      </c>
    </row>
    <row r="896">
      <c r="A896" s="3" t="inlineStr">
        <is>
          <t>DRM 10</t>
        </is>
      </c>
      <c r="B896" s="2" t="inlineStr">
        <is>
          <t>Dekorácia vianočná dedinka, sane, deti</t>
        </is>
      </c>
      <c r="C896" s="1" t="n">
        <v>77.99</v>
      </c>
      <c r="D896" s="7" t="n">
        <f>HYPERLINK("https://www.somogyi.sk/product/dekoracia-vianocna-dedinka-sane-deti-drm-10-16058","https://www.somogyi.sk/product/dekoracia-vianocna-dedinka-sane-deti-drm-10-16058")</f>
        <v>0.0</v>
      </c>
      <c r="E896" s="7" t="n">
        <f>HYPERLINK("https://www.somogyi.sk/productimages/product_main_images/small/16058.jpg","https://www.somogyi.sk/productimages/product_main_images/small/16058.jpg")</f>
        <v>0.0</v>
      </c>
      <c r="F896" s="2" t="inlineStr">
        <is>
          <t>5999084940904</t>
        </is>
      </c>
      <c r="G896" s="4" t="inlineStr">
        <is>
          <t xml:space="preserve"> • umiestnenie: na vnútorné použitie 
 • rozmery: 31 x 20 x 19,5 cm 
 • napájanie: 3 x AA batéria, nie je príslušenstvom 
 • materiál: plast</t>
        </is>
      </c>
    </row>
    <row r="897">
      <c r="A897" s="3" t="inlineStr">
        <is>
          <t>PLM 7/T</t>
        </is>
      </c>
      <c r="B897" s="2" t="inlineStr">
        <is>
          <t>LED dekorácia, stromček</t>
        </is>
      </c>
      <c r="C897" s="1" t="n">
        <v>4.09</v>
      </c>
      <c r="D897" s="7" t="n">
        <f>HYPERLINK("https://www.somogyi.sk/product/led-dekoracia-stromcek-plm-7-t-16006","https://www.somogyi.sk/product/led-dekoracia-stromcek-plm-7-t-16006")</f>
        <v>0.0</v>
      </c>
      <c r="E897" s="7" t="n">
        <f>HYPERLINK("https://www.somogyi.sk/productimages/product_main_images/small/16006.jpg","https://www.somogyi.sk/productimages/product_main_images/small/16006.jpg")</f>
        <v>0.0</v>
      </c>
      <c r="F897" s="2" t="inlineStr">
        <is>
          <t>5999084940386</t>
        </is>
      </c>
      <c r="G897" s="4" t="inlineStr">
        <is>
          <t xml:space="preserve"> • umiestnenie: na vnútorné použitie 
 • zdroj svetla: LED 
 • počet zdrojov svetla: 7 ks 
 • farba zdrojov svetla: teplá biela 
 • rozmery: 20 x 22 x 3,5 cm 
 • napájanie: 2 x AA (1,5 V) batéria (nie je príslušenstvom)</t>
        </is>
      </c>
    </row>
    <row r="898">
      <c r="A898" s="3" t="inlineStr">
        <is>
          <t>KID 65</t>
        </is>
      </c>
      <c r="B898" s="2" t="inlineStr">
        <is>
          <t>LED guľa so snehuliakom</t>
        </is>
      </c>
      <c r="C898" s="1" t="n">
        <v>4.09</v>
      </c>
      <c r="D898" s="7" t="n">
        <f>HYPERLINK("https://www.somogyi.sk/product/led-gula-so-snehuliakom-kid-65-16014","https://www.somogyi.sk/product/led-gula-so-snehuliakom-kid-65-16014")</f>
        <v>0.0</v>
      </c>
      <c r="E898" s="7" t="n">
        <f>HYPERLINK("https://www.somogyi.sk/productimages/product_main_images/small/16014.jpg","https://www.somogyi.sk/productimages/product_main_images/small/16014.jpg")</f>
        <v>0.0</v>
      </c>
      <c r="F898" s="2" t="inlineStr">
        <is>
          <t>5999084940461</t>
        </is>
      </c>
      <c r="G898" s="4" t="inlineStr">
        <is>
          <t xml:space="preserve"> • umiestnenie: na vnútorné použitie 
 • zdroj svetla: LED 
 • počet zdrojov svetla: 1 ks 
 • farba zdrojov svetla: červená 
 • rozmery: Ø6,5 cm 
 • napájanie: 3 x LR44 gombíková batéria (je príslušenstvom) 
 • ďalšie informácie: 16 ks / displej</t>
        </is>
      </c>
    </row>
    <row r="899">
      <c r="A899" s="3" t="inlineStr">
        <is>
          <t>KID 66</t>
        </is>
      </c>
      <c r="B899" s="2" t="inlineStr">
        <is>
          <t>LED guľa so snehuliakom</t>
        </is>
      </c>
      <c r="C899" s="1" t="n">
        <v>4.09</v>
      </c>
      <c r="D899" s="7" t="n">
        <f>HYPERLINK("https://www.somogyi.sk/product/led-gula-so-snehuliakom-kid-66-16015","https://www.somogyi.sk/product/led-gula-so-snehuliakom-kid-66-16015")</f>
        <v>0.0</v>
      </c>
      <c r="E899" s="7" t="n">
        <f>HYPERLINK("https://www.somogyi.sk/productimages/product_main_images/small/16015.jpg","https://www.somogyi.sk/productimages/product_main_images/small/16015.jpg")</f>
        <v>0.0</v>
      </c>
      <c r="F899" s="2" t="inlineStr">
        <is>
          <t>5999084940478</t>
        </is>
      </c>
      <c r="G899" s="4" t="inlineStr">
        <is>
          <t xml:space="preserve"> • zdroj svetla: LED 
 • počet zdrojov svetla: 1 ks 
 • farba zdrojov svetla: červená 
 • rozmery: Ø6,5 cm 
 • napájanie: 3 x LR44 gombíková batéria (je príslušenstvom) 
 • ďalšie informácie: 16 ks / displej</t>
        </is>
      </c>
    </row>
    <row r="900">
      <c r="A900" s="3" t="inlineStr">
        <is>
          <t>MRL 22/T</t>
        </is>
      </c>
      <c r="B900" s="2" t="inlineStr">
        <is>
          <t>LED dekorácia na stôl so zrkadlovým efektom, stromček</t>
        </is>
      </c>
      <c r="C900" s="1" t="n">
        <v>7.99</v>
      </c>
      <c r="D900" s="7" t="n">
        <f>HYPERLINK("https://www.somogyi.sk/product/led-dekoracia-na-stol-so-zrkadlovym-efektom-stromcek-mrl-22-t-16034","https://www.somogyi.sk/product/led-dekoracia-na-stol-so-zrkadlovym-efektom-stromcek-mrl-22-t-16034")</f>
        <v>0.0</v>
      </c>
      <c r="E900" s="7" t="n">
        <f>HYPERLINK("https://www.somogyi.sk/productimages/product_main_images/small/16034.jpg","https://www.somogyi.sk/productimages/product_main_images/small/16034.jpg")</f>
        <v>0.0</v>
      </c>
      <c r="F900" s="2" t="inlineStr">
        <is>
          <t>5999084940669</t>
        </is>
      </c>
      <c r="G900" s="4" t="inlineStr">
        <is>
          <t xml:space="preserve"> • umiestnenie: na vnútorné použitie 
 • zdroj svetla: LED 
 • počet zdrojov svetla: 56 ks 
 • farba zdrojov svetla: zelená 
 • rozmery: 22,5 x 22 x 5 cm 
 • napájanie: 3 x AA batéria, je príslušenstvom 
 • ďalšie informácie: tunelový LED efekt</t>
        </is>
      </c>
    </row>
    <row r="901">
      <c r="A901" s="3" t="inlineStr">
        <is>
          <t>MRLC 6/T</t>
        </is>
      </c>
      <c r="B901" s="2" t="inlineStr">
        <is>
          <t>Svietiaci reťazec so zrkadlovým efektom, stromček</t>
        </is>
      </c>
      <c r="C901" s="1" t="n">
        <v>6.59</v>
      </c>
      <c r="D901" s="7" t="n">
        <f>HYPERLINK("https://www.somogyi.sk/product/svietiaci-retazec-so-zrkadlovym-efektom-stromcek-mrlc-6-t-16035","https://www.somogyi.sk/product/svietiaci-retazec-so-zrkadlovym-efektom-stromcek-mrlc-6-t-16035")</f>
        <v>0.0</v>
      </c>
      <c r="E901" s="7" t="n">
        <f>HYPERLINK("https://www.somogyi.sk/productimages/product_main_images/small/16035.jpg","https://www.somogyi.sk/productimages/product_main_images/small/16035.jpg")</f>
        <v>0.0</v>
      </c>
      <c r="F901" s="2" t="inlineStr">
        <is>
          <t>5999084940676</t>
        </is>
      </c>
      <c r="G901" s="4" t="inlineStr">
        <is>
          <t xml:space="preserve"> • umiestnenie: na vnútorné použitie 
 • zdroj svetla: LED 
 • počet zdrojov svetla: 6 ks dekorácií, 12 ks LED / dekorácia 
 • farba zdrojov svetla: zelená 
 • farba kábla: transparentný 
 • rozmery: 1 m 
 • napájanie: 3 x 1,5 V (AA) batéria, nie je príslušenstvom 
 • ďalšie informácie: tunelový LED efekt na oboch stranách dekorácie</t>
        </is>
      </c>
    </row>
    <row r="902">
      <c r="A902" s="3" t="inlineStr">
        <is>
          <t>MRLC 6/S</t>
        </is>
      </c>
      <c r="B902" s="2" t="inlineStr">
        <is>
          <t>LED dekorácia na stôl so zrkadlovým efektom, hviezda</t>
        </is>
      </c>
      <c r="C902" s="1" t="n">
        <v>6.59</v>
      </c>
      <c r="D902" s="7" t="n">
        <f>HYPERLINK("https://www.somogyi.sk/product/led-dekoracia-na-stol-so-zrkadlovym-efektom-hviezda-mrlc-6-s-16036","https://www.somogyi.sk/product/led-dekoracia-na-stol-so-zrkadlovym-efektom-hviezda-mrlc-6-s-16036")</f>
        <v>0.0</v>
      </c>
      <c r="E902" s="7" t="n">
        <f>HYPERLINK("https://www.somogyi.sk/productimages/product_main_images/small/16036.jpg","https://www.somogyi.sk/productimages/product_main_images/small/16036.jpg")</f>
        <v>0.0</v>
      </c>
      <c r="F902" s="2" t="inlineStr">
        <is>
          <t>5999084940683</t>
        </is>
      </c>
      <c r="G902" s="4" t="inlineStr">
        <is>
          <t xml:space="preserve"> • umiestnenie: na vnútorné použitie 
 • zdroj svetla: LED 
 • počet zdrojov svetla: 6 ks dekorácií, 12 ks LED / dekorácia 
 • farba zdrojov svetla: studená biela 
 • farba kábla: transparentný 
 • rozmery: 1 m 
 • napájanie: 3 x 1,5 V (AA) batéria, nie je príslušenstvom 
 • ďalšie informácie: tunelový LED efekt na oboch stranách dekorácie</t>
        </is>
      </c>
    </row>
    <row r="903">
      <c r="A903" s="3" t="inlineStr">
        <is>
          <t>KDC 17</t>
        </is>
      </c>
      <c r="B903" s="2" t="inlineStr">
        <is>
          <t>LED keramická dekorácia na stôl, sob</t>
        </is>
      </c>
      <c r="C903" s="1" t="n">
        <v>4.59</v>
      </c>
      <c r="D903" s="7" t="n">
        <f>HYPERLINK("https://www.somogyi.sk/product/led-keramicka-dekoracia-na-stol-sob-kdc-17-16043","https://www.somogyi.sk/product/led-keramicka-dekoracia-na-stol-sob-kdc-17-16043")</f>
        <v>0.0</v>
      </c>
      <c r="E903" s="7" t="n">
        <f>HYPERLINK("https://www.somogyi.sk/productimages/product_main_images/small/16043.jpg","https://www.somogyi.sk/productimages/product_main_images/small/16043.jpg")</f>
        <v>0.0</v>
      </c>
      <c r="F903" s="2" t="inlineStr">
        <is>
          <t>5999084940751</t>
        </is>
      </c>
      <c r="G903" s="4" t="inlineStr">
        <is>
          <t xml:space="preserve"> • umiestnenie: na vnútorné použitie 
 • zdroj svetla: LED 
 • počet zdrojov svetla: 4 ks 
 • farba zdrojov svetla: teplá biela 
 • rozmery: 9 x 17 x 5 cm 
 • napájanie: 2 x LR44 gombíková batéria  (je príslušenstvom) 
 • ďalšie informácie: so svietiacimi EVA guľami</t>
        </is>
      </c>
    </row>
    <row r="904">
      <c r="A904" s="3" t="inlineStr">
        <is>
          <t>KDC 15/T</t>
        </is>
      </c>
      <c r="B904" s="2" t="inlineStr">
        <is>
          <t>Keramická figúrka</t>
        </is>
      </c>
      <c r="C904" s="1" t="n">
        <v>3.69</v>
      </c>
      <c r="D904" s="7" t="n">
        <f>HYPERLINK("https://www.somogyi.sk/product/keramicka-figurka-kdc-15-t-16045","https://www.somogyi.sk/product/keramicka-figurka-kdc-15-t-16045")</f>
        <v>0.0</v>
      </c>
      <c r="E904" s="7" t="n">
        <f>HYPERLINK("https://www.somogyi.sk/productimages/product_main_images/small/16045.jpg","https://www.somogyi.sk/productimages/product_main_images/small/16045.jpg")</f>
        <v>0.0</v>
      </c>
      <c r="F904" s="2" t="inlineStr">
        <is>
          <t>5999084940775</t>
        </is>
      </c>
      <c r="G904" s="4" t="inlineStr">
        <is>
          <t xml:space="preserve"> • umiestnenie: na vnútorné použitie 
 • zdroj svetla: LED 
 • počet zdrojov svetla: 5 ks 
 • farba zdrojov svetla: teplá biela 
 • rozmery: 9 x 15 x 5 cm 
 • napájanie: 2 x LR44 gombíková batéria  (je príslušenstvom) 
 • ďalšie informácie: so svietiacimi EVA guľami</t>
        </is>
      </c>
    </row>
    <row r="905">
      <c r="A905" s="3" t="inlineStr">
        <is>
          <t>DRM 8</t>
        </is>
      </c>
      <c r="B905" s="2" t="inlineStr">
        <is>
          <t>Dekorácia vianočná dedinka s fotografom a vláčikom</t>
        </is>
      </c>
      <c r="C905" s="1" t="n">
        <v>60.99</v>
      </c>
      <c r="D905" s="7" t="n">
        <f>HYPERLINK("https://www.somogyi.sk/product/dekoracia-vianocna-dedinka-s-fotografom-a-vlacikom-drm-8-16056","https://www.somogyi.sk/product/dekoracia-vianocna-dedinka-s-fotografom-a-vlacikom-drm-8-16056")</f>
        <v>0.0</v>
      </c>
      <c r="E905" s="7" t="n">
        <f>HYPERLINK("https://www.somogyi.sk/productimages/product_main_images/small/16056.jpg","https://www.somogyi.sk/productimages/product_main_images/small/16056.jpg")</f>
        <v>0.0</v>
      </c>
      <c r="F905" s="2" t="inlineStr">
        <is>
          <t>5999084940881</t>
        </is>
      </c>
      <c r="G905" s="4" t="inlineStr">
        <is>
          <t xml:space="preserve"> • umiestnenie: na vnútorné použitie 
 • rozmery: 19,3 x 21,2 x 17,9 cm 
 • napájanie: 3 x AA batéria, nie je príslušenstvom 
 • materiál: plast</t>
        </is>
      </c>
    </row>
    <row r="906">
      <c r="A906" s="3" t="inlineStr">
        <is>
          <t>DRM 6</t>
        </is>
      </c>
      <c r="B906" s="2" t="inlineStr">
        <is>
          <t>Dekorácia na stôl, Betlehem</t>
        </is>
      </c>
      <c r="C906" s="1" t="n">
        <v>19.99</v>
      </c>
      <c r="D906" s="7" t="n">
        <f>HYPERLINK("https://www.somogyi.sk/product/dekoracia-na-stol-betlehem-drm-6-16059","https://www.somogyi.sk/product/dekoracia-na-stol-betlehem-drm-6-16059")</f>
        <v>0.0</v>
      </c>
      <c r="E906" s="7" t="n">
        <f>HYPERLINK("https://www.somogyi.sk/productimages/product_main_images/small/16059.jpg","https://www.somogyi.sk/productimages/product_main_images/small/16059.jpg")</f>
        <v>0.0</v>
      </c>
      <c r="F906" s="2" t="inlineStr">
        <is>
          <t>5999084940911</t>
        </is>
      </c>
      <c r="G906" s="4" t="inlineStr">
        <is>
          <t xml:space="preserve"> • umiestnenie: na vnútorné použitie 
 • zdroj svetla: LED 
 • počet zdrojov svetla: 2 ks 
 • farba zdrojov svetla: teplá biela 
 • rozmery: Ø12 x 19,5 cm 
 • napájanie: 2 x AAA batéria (nie je príslušenstvom) 
 • ďalšie informácie: sklenený kryt</t>
        </is>
      </c>
    </row>
    <row r="907">
      <c r="A907" s="3" t="inlineStr">
        <is>
          <t>GLE 12/WW</t>
        </is>
      </c>
      <c r="B907" s="2" t="inlineStr">
        <is>
          <t>Dekorácia, EVA guľa</t>
        </is>
      </c>
      <c r="C907" s="1" t="n">
        <v>5.49</v>
      </c>
      <c r="D907" s="7" t="n">
        <f>HYPERLINK("https://www.somogyi.sk/product/dekoracia-eva-gula-gle-12-ww-14732","https://www.somogyi.sk/product/dekoracia-eva-gula-gle-12-ww-14732")</f>
        <v>0.0</v>
      </c>
      <c r="E907" s="7" t="n">
        <f>HYPERLINK("https://www.somogyi.sk/productimages/product_main_images/small/14732.jpg","https://www.somogyi.sk/productimages/product_main_images/small/14732.jpg")</f>
        <v>0.0</v>
      </c>
      <c r="F907" s="2" t="inlineStr">
        <is>
          <t>5999084927745</t>
        </is>
      </c>
      <c r="G907" s="4" t="inlineStr">
        <is>
          <t xml:space="preserve"> • umiestnenie: vnútorné použitie 
 • zdroj svetla: LED 
 • počet zdrojov svetla: 1 ks 
 • farba zdrojov svetla: teplá biela 
 • rozmery: Ø12 cm 
 • napájanie: 3 x AA batéria (nie je príslušenstvom) 
 • ďalšie informácie: základný materiál z pružného EVA materiálu</t>
        </is>
      </c>
    </row>
    <row r="908">
      <c r="A908" s="3" t="inlineStr">
        <is>
          <t>KDCA 21</t>
        </is>
      </c>
      <c r="B908" s="2" t="inlineStr">
        <is>
          <t>Keramická figúrka, červený rušeň so stromčekom</t>
        </is>
      </c>
      <c r="C908" s="1" t="n">
        <v>13.49</v>
      </c>
      <c r="D908" s="7" t="n">
        <f>HYPERLINK("https://www.somogyi.sk/product/keramicka-figurka-cerveny-rusen-so-stromcekom-kdca-21-16567","https://www.somogyi.sk/product/keramicka-figurka-cerveny-rusen-so-stromcekom-kdca-21-16567")</f>
        <v>0.0</v>
      </c>
      <c r="E908" s="7" t="n">
        <f>HYPERLINK("https://www.somogyi.sk/productimages/product_main_images/small/16567.jpg","https://www.somogyi.sk/productimages/product_main_images/small/16567.jpg")</f>
        <v>0.0</v>
      </c>
      <c r="F908" s="2" t="inlineStr">
        <is>
          <t>5999084945992</t>
        </is>
      </c>
      <c r="G908" s="4" t="inlineStr">
        <is>
          <t xml:space="preserve"> • umiestnenie: na vnútorné použitie 
 • zdroj svetla: 10 ks teplých bielych LED 
 • počet zdrojov svetla: 10 ks 
 • farba zdrojov svetla: teplá biela 
 • rozmery: 20,5 x 21 x 8,5 cm 
 • napájanie: 2 x 1,5 V (AAA) batéria, nie je príslušenstvom</t>
        </is>
      </c>
    </row>
    <row r="909">
      <c r="A909" s="3" t="inlineStr">
        <is>
          <t>KDCA 15</t>
        </is>
      </c>
      <c r="B909" s="2" t="inlineStr">
        <is>
          <t>Keramická figúrka, biele autíčko so stromčekom</t>
        </is>
      </c>
      <c r="C909" s="1" t="n">
        <v>13.49</v>
      </c>
      <c r="D909" s="7" t="n">
        <f>HYPERLINK("https://www.somogyi.sk/product/keramicka-figurka-biele-auticko-so-stromcekom-kdca-15-16566","https://www.somogyi.sk/product/keramicka-figurka-biele-auticko-so-stromcekom-kdca-15-16566")</f>
        <v>0.0</v>
      </c>
      <c r="E909" s="7" t="n">
        <f>HYPERLINK("https://www.somogyi.sk/productimages/product_main_images/small/16566.jpg","https://www.somogyi.sk/productimages/product_main_images/small/16566.jpg")</f>
        <v>0.0</v>
      </c>
      <c r="F909" s="2" t="inlineStr">
        <is>
          <t>5999084945985</t>
        </is>
      </c>
      <c r="G909" s="4" t="inlineStr">
        <is>
          <t xml:space="preserve"> • umiestnenie: na vnútorné použitie 
 • zdroj svetla: 11 ks teplých bielych LED 
 • počet zdrojov svetla: 11 ks 
 • farba zdrojov svetla: teplá biela 
 • rozmery: 18,5 x 15 x 11,5 cm 
 • napájanie: 2 x 1,5 V (AAA) batéria, nie je príslušenstvom</t>
        </is>
      </c>
    </row>
    <row r="910">
      <c r="A910" s="3" t="inlineStr">
        <is>
          <t>KDC 49</t>
        </is>
      </c>
      <c r="B910" s="2" t="inlineStr">
        <is>
          <t>Keramická figúrka, WELCOME, Mikuláš   sob</t>
        </is>
      </c>
      <c r="C910" s="1" t="n">
        <v>65.99</v>
      </c>
      <c r="D910" s="7" t="n">
        <f>HYPERLINK("https://www.somogyi.sk/product/keramicka-figurka-welcome-mikulas-sob-kdc-49-16563","https://www.somogyi.sk/product/keramicka-figurka-welcome-mikulas-sob-kdc-49-16563")</f>
        <v>0.0</v>
      </c>
      <c r="E910" s="7" t="n">
        <f>HYPERLINK("https://www.somogyi.sk/productimages/product_main_images/small/16563.jpg","https://www.somogyi.sk/productimages/product_main_images/small/16563.jpg")</f>
        <v>0.0</v>
      </c>
      <c r="F910" s="2" t="inlineStr">
        <is>
          <t>5999084945954</t>
        </is>
      </c>
      <c r="G910" s="4" t="inlineStr">
        <is>
          <t xml:space="preserve"> • umiestnenie: na vnútorné použitie 
 • zdroj svetla: LED 
 • počet zdrojov svetla: 4 db 
 • farba zdrojov svetla: farbu meniaca 
 • funkcie: vianočnú hudbu je možné zapnúť/vypnúť 
 • rozmery: 45 x 49 x 20 cm 
 • napájanie: 3 x 1,5 V (AA) batéria, nie je príslušenstvom</t>
        </is>
      </c>
    </row>
    <row r="911">
      <c r="A911" s="3" t="inlineStr">
        <is>
          <t>KDD 41</t>
        </is>
      </c>
      <c r="B911" s="2" t="inlineStr">
        <is>
          <t>Škriatok, so svietiacou bradou, 41 cm</t>
        </is>
      </c>
      <c r="C911" s="1" t="n">
        <v>15.99</v>
      </c>
      <c r="D911" s="7" t="n">
        <f>HYPERLINK("https://www.somogyi.sk/product/skriatok-so-svietiacou-bradou-41-cm-kdd-41-16558","https://www.somogyi.sk/product/skriatok-so-svietiacou-bradou-41-cm-kdd-41-16558")</f>
        <v>0.0</v>
      </c>
      <c r="E911" s="7" t="n">
        <f>HYPERLINK("https://www.somogyi.sk/productimages/product_main_images/small/16558.jpg","https://www.somogyi.sk/productimages/product_main_images/small/16558.jpg")</f>
        <v>0.0</v>
      </c>
      <c r="F911" s="2" t="inlineStr">
        <is>
          <t>5999084945909</t>
        </is>
      </c>
      <c r="G911" s="4" t="inlineStr">
        <is>
          <t xml:space="preserve"> • umiestnenie: na vnútorné použitie 
 • zdroj svetla: 3 ks blikajúcich, teplých bielych LED 
 • počet zdrojov svetla: 3 ks 
 • farba zdrojov svetla: teplá biela 
 • rozmery: 31 x 41 x 18 cm 
 • napájanie: 2 x 3 V (CR2032) batéria, je príslušenstvom</t>
        </is>
      </c>
    </row>
    <row r="912">
      <c r="A912" s="3" t="inlineStr">
        <is>
          <t>KDD 54</t>
        </is>
      </c>
      <c r="B912" s="2" t="inlineStr">
        <is>
          <t>Škriatok, stojací so svietiacou bradou, 54 cm</t>
        </is>
      </c>
      <c r="C912" s="1" t="n">
        <v>21.99</v>
      </c>
      <c r="D912" s="7" t="n">
        <f>HYPERLINK("https://www.somogyi.sk/product/skriatok-stojaci-so-svietiacou-bradou-54-cm-kdd-54-16557","https://www.somogyi.sk/product/skriatok-stojaci-so-svietiacou-bradou-54-cm-kdd-54-16557")</f>
        <v>0.0</v>
      </c>
      <c r="E912" s="7" t="n">
        <f>HYPERLINK("https://www.somogyi.sk/productimages/product_main_images/small/16557.jpg","https://www.somogyi.sk/productimages/product_main_images/small/16557.jpg")</f>
        <v>0.0</v>
      </c>
      <c r="F912" s="2" t="inlineStr">
        <is>
          <t>5999084945893</t>
        </is>
      </c>
      <c r="G912" s="4" t="inlineStr">
        <is>
          <t xml:space="preserve"> • umiestnenie: na vnútorné použitie 
 • zdroj svetla: 3 ks blikajúcich, teplých bielych LED 
 • počet zdrojov svetla: 3 ks blikajúcich, teplých bielych LED 
 • farba zdrojov svetla: teplá biela 
 • rozmery: 20 x 54 x 18 cm 
 • napájanie: 2 x 3 V (CR2032) batéria, je príslušenstvom</t>
        </is>
      </c>
    </row>
    <row r="913">
      <c r="A913" s="3" t="inlineStr">
        <is>
          <t>KID 24</t>
        </is>
      </c>
      <c r="B913" s="2" t="inlineStr">
        <is>
          <t>LED dekorácia na dvere, okno, s optickými vláknami, farebný drevený stromček</t>
        </is>
      </c>
      <c r="C913" s="1" t="n">
        <v>31.99</v>
      </c>
      <c r="D913" s="7" t="n">
        <f>HYPERLINK("https://www.somogyi.sk/product/led-dekoracia-na-dvere-okno-s-optickymi-vlaknami-farebny-dreveny-stromcek-kid-24-16509","https://www.somogyi.sk/product/led-dekoracia-na-dvere-okno-s-optickymi-vlaknami-farebny-dreveny-stromcek-kid-24-16509")</f>
        <v>0.0</v>
      </c>
      <c r="E913" s="7" t="n">
        <f>HYPERLINK("https://www.somogyi.sk/productimages/product_main_images/small/16509.jpg","https://www.somogyi.sk/productimages/product_main_images/small/16509.jpg")</f>
        <v>0.0</v>
      </c>
      <c r="F913" s="2" t="inlineStr">
        <is>
          <t>5999084945411</t>
        </is>
      </c>
      <c r="G913" s="4" t="inlineStr">
        <is>
          <t xml:space="preserve"> • umiestnenie: na vnútorné použitie 
 • zdroj svetla: farebné blikajúce svetelné body 
 • počet zdrojov svetla: 1 centrálny LED zdroj svetla 
 • farba zdrojov svetla: farbu meniaca 
 • rozmery: 33,5 x 54,8 x 3,5 cm 
 • napájanie: 2 x 1,5 V (AAA) batéria, nie je príslušenstvom 
 • ďalšie informácie: závesné prevedenie</t>
        </is>
      </c>
    </row>
    <row r="914">
      <c r="A914" s="3" t="inlineStr">
        <is>
          <t>KAD 35</t>
        </is>
      </c>
      <c r="B914" s="2" t="inlineStr">
        <is>
          <t>LED dekorácia na stôl, s optickými vláknami, farebný drevený stromček</t>
        </is>
      </c>
      <c r="C914" s="1" t="n">
        <v>28.99</v>
      </c>
      <c r="D914" s="7" t="n">
        <f>HYPERLINK("https://www.somogyi.sk/product/led-dekoracia-na-stol-s-optickymi-vlaknami-farebny-dreveny-stromcek-kad-35-16508","https://www.somogyi.sk/product/led-dekoracia-na-stol-s-optickymi-vlaknami-farebny-dreveny-stromcek-kad-35-16508")</f>
        <v>0.0</v>
      </c>
      <c r="E914" s="7" t="n">
        <f>HYPERLINK("https://www.somogyi.sk/productimages/product_main_images/small/16508.jpg","https://www.somogyi.sk/productimages/product_main_images/small/16508.jpg")</f>
        <v>0.0</v>
      </c>
      <c r="F914" s="2" t="inlineStr">
        <is>
          <t>5999084945404</t>
        </is>
      </c>
      <c r="G914" s="4" t="inlineStr">
        <is>
          <t xml:space="preserve"> • umiestnenie: na vnútorné použitie 
 • zdroj svetla: farebné blikajúce svetelné body 
 • počet zdrojov svetla: 1 centrálny LED zdroj svetla 
 • farba zdrojov svetla: farbu meniaca 
 • rozmery: 33,8 x 55 x 4 cm 
 • napájanie: 2 x 1,5 V (AAA) batéria, nie je príslušenstvom</t>
        </is>
      </c>
    </row>
    <row r="915">
      <c r="A915" s="3" t="inlineStr">
        <is>
          <t>KAD 34</t>
        </is>
      </c>
      <c r="B915" s="2" t="inlineStr">
        <is>
          <t>LED dekorácia na stôl, s optickými vláknami, farebný drevený snehuliak</t>
        </is>
      </c>
      <c r="C915" s="1" t="n">
        <v>35.99</v>
      </c>
      <c r="D915" s="7" t="n">
        <f>HYPERLINK("https://www.somogyi.sk/product/led-dekoracia-na-stol-s-optickymi-vlaknami-farebny-dreveny-snehuliak-kad-34-16507","https://www.somogyi.sk/product/led-dekoracia-na-stol-s-optickymi-vlaknami-farebny-dreveny-snehuliak-kad-34-16507")</f>
        <v>0.0</v>
      </c>
      <c r="E915" s="7" t="n">
        <f>HYPERLINK("https://www.somogyi.sk/productimages/product_main_images/small/16507.jpg","https://www.somogyi.sk/productimages/product_main_images/small/16507.jpg")</f>
        <v>0.0</v>
      </c>
      <c r="F915" s="2" t="inlineStr">
        <is>
          <t>5999084945398</t>
        </is>
      </c>
      <c r="G915" s="4" t="inlineStr">
        <is>
          <t xml:space="preserve"> • umiestnenie: na vnútorné použitie 
 • zdroj svetla: farebné blikajúce svetelné body 
 • počet zdrojov svetla: 1 centrálny LED zdroj svetla 
 • farba zdrojov svetla: farbu meniaca 
 • rozmery: 38,5 x 55 x 4 cm 
 • napájanie: 2 x 1,5 V (AAA) batéria, nie je príslušenstvom</t>
        </is>
      </c>
    </row>
    <row r="916">
      <c r="A916" s="3" t="inlineStr">
        <is>
          <t>KAD 28</t>
        </is>
      </c>
      <c r="B916" s="2" t="inlineStr">
        <is>
          <t>LED dekorácia na stôl, stromček, neon-light, teplá biela</t>
        </is>
      </c>
      <c r="C916" s="1" t="n">
        <v>7.99</v>
      </c>
      <c r="D916" s="7" t="n">
        <f>HYPERLINK("https://www.somogyi.sk/product/led-dekoracia-na-stol-stromcek-neon-light-tepla-biela-kad-28-16504","https://www.somogyi.sk/product/led-dekoracia-na-stol-stromcek-neon-light-tepla-biela-kad-28-16504")</f>
        <v>0.0</v>
      </c>
      <c r="E916" s="7" t="n">
        <f>HYPERLINK("https://www.somogyi.sk/productimages/product_main_images/small/16504.jpg","https://www.somogyi.sk/productimages/product_main_images/small/16504.jpg")</f>
        <v>0.0</v>
      </c>
      <c r="F916" s="2" t="inlineStr">
        <is>
          <t>5999084945367</t>
        </is>
      </c>
      <c r="G916" s="4" t="inlineStr">
        <is>
          <t xml:space="preserve"> • umiestnenie: na vnútorné použitie 
 • zdroj svetla: LED neon-light pásik 
 • počet zdrojov svetla: 1 ks 
 • farba zdrojov svetla: teplá biela 
 • rozmery: 21 x 23  x 2 cm 
 • napájanie: 3 x 1,5 V (AA) batéria, nie je príslušenstvom</t>
        </is>
      </c>
    </row>
    <row r="917">
      <c r="A917" s="3" t="inlineStr">
        <is>
          <t>KAD 27</t>
        </is>
      </c>
      <c r="B917" s="2" t="inlineStr">
        <is>
          <t>LED dekorácia na stôl, hviezda, neon-light, teplá biela</t>
        </is>
      </c>
      <c r="C917" s="1" t="n">
        <v>6.69</v>
      </c>
      <c r="D917" s="7" t="n">
        <f>HYPERLINK("https://www.somogyi.sk/product/led-dekoracia-na-stol-hviezda-neon-light-tepla-biela-kad-27-16503","https://www.somogyi.sk/product/led-dekoracia-na-stol-hviezda-neon-light-tepla-biela-kad-27-16503")</f>
        <v>0.0</v>
      </c>
      <c r="E917" s="7" t="n">
        <f>HYPERLINK("https://www.somogyi.sk/productimages/product_main_images/small/16503.jpg","https://www.somogyi.sk/productimages/product_main_images/small/16503.jpg")</f>
        <v>0.0</v>
      </c>
      <c r="F917" s="2" t="inlineStr">
        <is>
          <t>5999084945350</t>
        </is>
      </c>
      <c r="G917" s="4" t="inlineStr">
        <is>
          <t xml:space="preserve"> • umiestnenie: na vnútorné použitie 
 • zdroj svetla: LED neon-light pásik 
 • počet zdrojov svetla: 1 ks 
 • farba zdrojov svetla: teplá biela 
 • rozmery: 22 x 22 x 3 cm 
 • napájanie: 3 x 1,5 V (AA) batéria, nie je príslušenstvom</t>
        </is>
      </c>
    </row>
    <row r="918">
      <c r="A918" s="6" t="inlineStr">
        <is>
          <t xml:space="preserve">   Vianočné dekoračné osvetlenie / Sviečka</t>
        </is>
      </c>
      <c r="B918" s="6" t="inlineStr">
        <is>
          <t/>
        </is>
      </c>
      <c r="C918" s="6" t="inlineStr">
        <is>
          <t/>
        </is>
      </c>
      <c r="D918" s="6" t="inlineStr">
        <is>
          <t/>
        </is>
      </c>
      <c r="E918" s="6" t="inlineStr">
        <is>
          <t/>
        </is>
      </c>
      <c r="F918" s="6" t="inlineStr">
        <is>
          <t/>
        </is>
      </c>
      <c r="G918" s="6" t="inlineStr">
        <is>
          <t/>
        </is>
      </c>
    </row>
    <row r="919">
      <c r="A919" s="3" t="inlineStr">
        <is>
          <t>CDL 14</t>
        </is>
      </c>
      <c r="B919" s="2" t="inlineStr">
        <is>
          <t>LED čajová sviečka, 1 LED, Ø14 x 8,5 cm</t>
        </is>
      </c>
      <c r="C919" s="1" t="n">
        <v>9.59</v>
      </c>
      <c r="D919" s="7" t="n">
        <f>HYPERLINK("https://www.somogyi.sk/product/led-cajova-sviecka-1-led-14-x-8-5-cm-cdl-14-17352","https://www.somogyi.sk/product/led-cajova-sviecka-1-led-14-x-8-5-cm-cdl-14-17352")</f>
        <v>0.0</v>
      </c>
      <c r="E919" s="7" t="n">
        <f>HYPERLINK("https://www.somogyi.sk/productimages/product_main_images/small/17352.jpg","https://www.somogyi.sk/productimages/product_main_images/small/17352.jpg")</f>
        <v>0.0</v>
      </c>
      <c r="F919" s="2" t="inlineStr">
        <is>
          <t>5999084953744</t>
        </is>
      </c>
      <c r="G919" s="4" t="inlineStr">
        <is>
          <t xml:space="preserve"> • umiestnenie: na vnútorné použitie 
 • zdroj svetla: LED 
 • počet zdrojov svetla: 1 ks 
 • farba zdrojov svetla: teplá biela 
 • rozmery: ∅140 x 85 mm 
 • napájanie: 3 x 1,5 V (AA) batéria, nie je príslušenstvom</t>
        </is>
      </c>
    </row>
    <row r="920">
      <c r="A920" s="3" t="inlineStr">
        <is>
          <t>CD 1</t>
        </is>
      </c>
      <c r="B920" s="2" t="inlineStr">
        <is>
          <t>LED sviečka v skle, Ø7,5 x 12,5 cm</t>
        </is>
      </c>
      <c r="C920" s="1" t="n">
        <v>8.59</v>
      </c>
      <c r="D920" s="7" t="n">
        <f>HYPERLINK("https://www.somogyi.sk/product/led-sviecka-v-skle-7-5-x-12-5-cm-cd-1-17370","https://www.somogyi.sk/product/led-sviecka-v-skle-7-5-x-12-5-cm-cd-1-17370")</f>
        <v>0.0</v>
      </c>
      <c r="E920" s="7" t="n">
        <f>HYPERLINK("https://www.somogyi.sk/productimages/product_main_images/small/17370.jpg","https://www.somogyi.sk/productimages/product_main_images/small/17370.jpg")</f>
        <v>0.0</v>
      </c>
      <c r="F920" s="2" t="inlineStr">
        <is>
          <t>5999084953928</t>
        </is>
      </c>
      <c r="G920" s="4" t="inlineStr">
        <is>
          <t xml:space="preserve"> • umiestnenie: na vnútorné použitie 
 • zdroj svetla: LED 
 • počet zdrojov svetla: 1 ks 
 • farba zdrojov svetla: teplá biela 
 • rozmery: ∅75 x 125 mm 
 • napájanie: 2 x AA (1,5 V) batéria (nie je príslušenstvom)</t>
        </is>
      </c>
    </row>
    <row r="921">
      <c r="A921" s="3" t="inlineStr">
        <is>
          <t>CDL 20</t>
        </is>
      </c>
      <c r="B921" s="2" t="inlineStr">
        <is>
          <t>LED čajová sviečka, 3 LED, Ø20 x 8 cm</t>
        </is>
      </c>
      <c r="C921" s="1" t="n">
        <v>18.49</v>
      </c>
      <c r="D921" s="7" t="n">
        <f>HYPERLINK("https://www.somogyi.sk/product/led-cajova-sviecka-3-led-20-x-8-cm-cdl-20-17354","https://www.somogyi.sk/product/led-cajova-sviecka-3-led-20-x-8-cm-cdl-20-17354")</f>
        <v>0.0</v>
      </c>
      <c r="E921" s="7" t="n">
        <f>HYPERLINK("https://www.somogyi.sk/productimages/product_main_images/small/17354.jpg","https://www.somogyi.sk/productimages/product_main_images/small/17354.jpg")</f>
        <v>0.0</v>
      </c>
      <c r="F921" s="2" t="inlineStr">
        <is>
          <t>5999084953768</t>
        </is>
      </c>
      <c r="G921" s="4" t="inlineStr">
        <is>
          <t xml:space="preserve"> • umiestnenie: na vnútorné použitie 
 • zdroj svetla: LED 
 • počet zdrojov svetla: 3 ks 
 • farba zdrojov svetla: teplá biela 
 • rozmery: ∅200 x 80 mm 
 • napájanie: 3 x 1,5 V (AA) batéria, nie je príslušenstvom</t>
        </is>
      </c>
    </row>
    <row r="922">
      <c r="A922" s="3" t="inlineStr">
        <is>
          <t>CDO 1</t>
        </is>
      </c>
      <c r="B922" s="2" t="inlineStr">
        <is>
          <t>LED sviečka</t>
        </is>
      </c>
      <c r="C922" s="1" t="n">
        <v>4.89</v>
      </c>
      <c r="D922" s="7" t="n">
        <f>HYPERLINK("https://www.somogyi.sk/product/led-sviecka-cdo-1-18130","https://www.somogyi.sk/product/led-sviecka-cdo-1-18130")</f>
        <v>0.0</v>
      </c>
      <c r="E922" s="7" t="n">
        <f>HYPERLINK("https://www.somogyi.sk/productimages/product_main_images/small/18130.jpg","https://www.somogyi.sk/productimages/product_main_images/small/18130.jpg")</f>
        <v>0.0</v>
      </c>
      <c r="F922" s="2" t="inlineStr">
        <is>
          <t>5999084961527</t>
        </is>
      </c>
      <c r="G922" s="4" t="inlineStr">
        <is>
          <t xml:space="preserve"> • umiestnenie: vonkajšie / vnútorné použitie 
 • zdroj svetla: LED 
 • počet zdrojov svetla: 1 ks 
 • funkcie: možno zapnúť/vypnúť/opakovať časovanie: ON / OFF / TIMER (6 h ON / 18 h OFF) 
 • rozmery: Ø 7,54 x 12,5 cm 
 • napájanie: 2 x 1,5 V (AA) batéria, nie je príslušenstvom 
 • materiál: plast</t>
        </is>
      </c>
    </row>
    <row r="923">
      <c r="A923" s="3" t="inlineStr">
        <is>
          <t>CD 6/WH</t>
        </is>
      </c>
      <c r="B923" s="2" t="inlineStr">
        <is>
          <t>LED čajová sviečka</t>
        </is>
      </c>
      <c r="C923" s="1" t="n">
        <v>3.99</v>
      </c>
      <c r="D923" s="7" t="n">
        <f>HYPERLINK("https://www.somogyi.sk/product/led-cajova-sviecka-cd-6-wh-14739","https://www.somogyi.sk/product/led-cajova-sviecka-cd-6-wh-14739")</f>
        <v>0.0</v>
      </c>
      <c r="E923" s="7" t="n">
        <f>HYPERLINK("https://www.somogyi.sk/productimages/product_main_images/small/14739.jpg","https://www.somogyi.sk/productimages/product_main_images/small/14739.jpg")</f>
        <v>0.0</v>
      </c>
      <c r="F923" s="2" t="inlineStr">
        <is>
          <t>5999084927813</t>
        </is>
      </c>
      <c r="G923" s="4" t="inlineStr">
        <is>
          <t xml:space="preserve"> • umiestnenie: vnútorné použitie 
 • zdroj svetla: LED 
 • počet zdrojov svetla: 1 ks 
 • farba zdrojov svetla: oranžová 
 • funkcie: blikajúca LED 
 • rozmery: Ø3,8 x 4 cm 
 • napájanie: CR2032 batéria (príslušenstvo) 
 • ďalšie informácie: -</t>
        </is>
      </c>
    </row>
    <row r="924">
      <c r="A924" s="3" t="inlineStr">
        <is>
          <t>CDL 17</t>
        </is>
      </c>
      <c r="B924" s="2" t="inlineStr">
        <is>
          <t>LED čajová sviečka, 1 LED, Ø17 x 14 cm</t>
        </is>
      </c>
      <c r="C924" s="1" t="n">
        <v>16.99</v>
      </c>
      <c r="D924" s="7" t="n">
        <f>HYPERLINK("https://www.somogyi.sk/product/led-cajova-sviecka-1-led-17-x-14-cm-cdl-17-17353","https://www.somogyi.sk/product/led-cajova-sviecka-1-led-17-x-14-cm-cdl-17-17353")</f>
        <v>0.0</v>
      </c>
      <c r="E924" s="7" t="n">
        <f>HYPERLINK("https://www.somogyi.sk/productimages/product_main_images/small/17353.jpg","https://www.somogyi.sk/productimages/product_main_images/small/17353.jpg")</f>
        <v>0.0</v>
      </c>
      <c r="F924" s="2" t="inlineStr">
        <is>
          <t>5999084953751</t>
        </is>
      </c>
      <c r="G924" s="4" t="inlineStr">
        <is>
          <t xml:space="preserve"> • umiestnenie: na vnútorné použitie 
 • zdroj svetla: LED 
 • počet zdrojov svetla: 1 ks 
 • farba zdrojov svetla: teplá biela 
 • rozmery: ∅170 x 140 mm 
 • napájanie: 3 x 1,5 V (AA) batéria, nie je príslušenstvom</t>
        </is>
      </c>
    </row>
    <row r="925">
      <c r="A925" s="6" t="inlineStr">
        <is>
          <t xml:space="preserve">   Vianočné dekoračné osvetlenie / Tancujúca, hrajúca figúrka</t>
        </is>
      </c>
      <c r="B925" s="6" t="inlineStr">
        <is>
          <t/>
        </is>
      </c>
      <c r="C925" s="6" t="inlineStr">
        <is>
          <t/>
        </is>
      </c>
      <c r="D925" s="6" t="inlineStr">
        <is>
          <t/>
        </is>
      </c>
      <c r="E925" s="6" t="inlineStr">
        <is>
          <t/>
        </is>
      </c>
      <c r="F925" s="6" t="inlineStr">
        <is>
          <t/>
        </is>
      </c>
      <c r="G925" s="6" t="inlineStr">
        <is>
          <t/>
        </is>
      </c>
    </row>
    <row r="926">
      <c r="A926" s="3" t="inlineStr">
        <is>
          <t>KDD 32</t>
        </is>
      </c>
      <c r="B926" s="2" t="inlineStr">
        <is>
          <t>Tancujúci, hrajúci Mikuláš, 30cm</t>
        </is>
      </c>
      <c r="C926" s="1" t="n">
        <v>17.49</v>
      </c>
      <c r="D926" s="7" t="n">
        <f>HYPERLINK("https://www.somogyi.sk/product/tancujuci-hrajuci-mikulas-30cm-kdd-32-13985","https://www.somogyi.sk/product/tancujuci-hrajuci-mikulas-30cm-kdd-32-13985")</f>
        <v>0.0</v>
      </c>
      <c r="E926" s="7" t="n">
        <f>HYPERLINK("https://www.somogyi.sk/productimages/product_main_images/small/13985.jpg","https://www.somogyi.sk/productimages/product_main_images/small/13985.jpg")</f>
        <v>0.0</v>
      </c>
      <c r="F926" s="2" t="inlineStr">
        <is>
          <t>5999084920371</t>
        </is>
      </c>
      <c r="G926" s="4" t="inlineStr">
        <is>
          <t xml:space="preserve"> • umiestnenie: vnútorné použitie 
 • funkcie: Mikuláš tancuje na hudbu 
 • rozmery: 30 cm 
 • napájanie: 3 x AA batéria (nie je príslušenstvom)</t>
        </is>
      </c>
    </row>
    <row r="927">
      <c r="A927" s="3" t="inlineStr">
        <is>
          <t>KDD 38</t>
        </is>
      </c>
      <c r="B927" s="2" t="inlineStr">
        <is>
          <t>Spievajúci sob</t>
        </is>
      </c>
      <c r="C927" s="1" t="n">
        <v>25.99</v>
      </c>
      <c r="D927" s="7" t="n">
        <f>HYPERLINK("https://www.somogyi.sk/product/spievajuci-sob-kdd-38-16992","https://www.somogyi.sk/product/spievajuci-sob-kdd-38-16992")</f>
        <v>0.0</v>
      </c>
      <c r="E927" s="7" t="n">
        <f>HYPERLINK("https://www.somogyi.sk/productimages/product_main_images/small/16992.jpg","https://www.somogyi.sk/productimages/product_main_images/small/16992.jpg")</f>
        <v>0.0</v>
      </c>
      <c r="F927" s="2" t="inlineStr">
        <is>
          <t>5999084950248</t>
        </is>
      </c>
      <c r="G927" s="4" t="inlineStr">
        <is>
          <t xml:space="preserve"> • umiestnenie: na vnútorné použitie 
 • funkcie: sob spieva a kýva hlavou 
 • rozmery: 38 cm 
 • napájanie: 3 x 1,5 V (AA) batéria, nie je príslušenstvom</t>
        </is>
      </c>
    </row>
    <row r="928">
      <c r="A928" s="3" t="inlineStr">
        <is>
          <t>KDD 39</t>
        </is>
      </c>
      <c r="B928" s="2" t="inlineStr">
        <is>
          <t>Spievajúci, tancujúci stromček</t>
        </is>
      </c>
      <c r="C928" s="1" t="n">
        <v>28.99</v>
      </c>
      <c r="D928" s="7" t="n">
        <f>HYPERLINK("https://www.somogyi.sk/product/spievajuci-tancujuci-stromcek-kdd-39-17331","https://www.somogyi.sk/product/spievajuci-tancujuci-stromcek-kdd-39-17331")</f>
        <v>0.0</v>
      </c>
      <c r="E928" s="7" t="n">
        <f>HYPERLINK("https://www.somogyi.sk/productimages/product_main_images/small/17331.jpg","https://www.somogyi.sk/productimages/product_main_images/small/17331.jpg")</f>
        <v>0.0</v>
      </c>
      <c r="F928" s="2" t="inlineStr">
        <is>
          <t>5999084953539</t>
        </is>
      </c>
      <c r="G928" s="4" t="inlineStr">
        <is>
          <t xml:space="preserve"> • stromček spieva a tancuje 
 • nastaviteľné ruky 
 • napájanie: 3 x 1,5 V (AA) batéria, nie je príslušenstvom</t>
        </is>
      </c>
    </row>
    <row r="929">
      <c r="A929" s="3" t="inlineStr">
        <is>
          <t>KDD 31</t>
        </is>
      </c>
      <c r="B929" s="2" t="inlineStr">
        <is>
          <t>Tancujúci, hrajúci Mikuláš</t>
        </is>
      </c>
      <c r="C929" s="1" t="n">
        <v>17.49</v>
      </c>
      <c r="D929" s="7" t="n">
        <f>HYPERLINK("https://www.somogyi.sk/product/tancujuci-hrajuci-mikulas-kdd-31-13984","https://www.somogyi.sk/product/tancujuci-hrajuci-mikulas-kdd-31-13984")</f>
        <v>0.0</v>
      </c>
      <c r="E929" s="7" t="n">
        <f>HYPERLINK("https://www.somogyi.sk/productimages/product_main_images/small/13984.jpg","https://www.somogyi.sk/productimages/product_main_images/small/13984.jpg")</f>
        <v>0.0</v>
      </c>
      <c r="F929" s="2" t="inlineStr">
        <is>
          <t>5999084920364</t>
        </is>
      </c>
      <c r="G929" s="4" t="inlineStr">
        <is>
          <t xml:space="preserve"> • umiestnenie: vnútorné použitie 
 • funkcie: Mikuláš tancuje na hudbu 
 • rozmery: 30 cm 
 • napájanie: 3 x AA batéria (nie je príslušenstvom)</t>
        </is>
      </c>
    </row>
    <row r="930">
      <c r="A930" s="3" t="inlineStr">
        <is>
          <t>KDD 35</t>
        </is>
      </c>
      <c r="B930" s="2" t="inlineStr">
        <is>
          <t>Tancujúci, hrajúci Mikuláš s lampášom, 35 cm</t>
        </is>
      </c>
      <c r="C930" s="1" t="n">
        <v>22.99</v>
      </c>
      <c r="D930" s="7" t="n">
        <f>HYPERLINK("https://www.somogyi.sk/product/tancujuci-hrajuci-mikulas-s-lampasom-35-cm-kdd-35-17816","https://www.somogyi.sk/product/tancujuci-hrajuci-mikulas-s-lampasom-35-cm-kdd-35-17816")</f>
        <v>0.0</v>
      </c>
      <c r="E930" s="7" t="n">
        <f>HYPERLINK("https://www.somogyi.sk/productimages/product_main_images/small/17816.jpg","https://www.somogyi.sk/productimages/product_main_images/small/17816.jpg")</f>
        <v>0.0</v>
      </c>
      <c r="F930" s="2" t="inlineStr">
        <is>
          <t>5999084958381</t>
        </is>
      </c>
      <c r="G930" s="4" t="inlineStr">
        <is>
          <t xml:space="preserve"> • umiestnenie: na vnútorné použitie 
 • funkcie: Mikuláš na hudbu tancuje 
 • rozmery: výška: 35 cm 
 • napájanie: 3 x AA batéria, nie je príslušenstvom</t>
        </is>
      </c>
    </row>
    <row r="931">
      <c r="A931" s="3" t="inlineStr">
        <is>
          <t>KDD 45</t>
        </is>
      </c>
      <c r="B931" s="2" t="inlineStr">
        <is>
          <t>Tancujúci, hrajúci Mikuláš</t>
        </is>
      </c>
      <c r="C931" s="1" t="n">
        <v>29.99</v>
      </c>
      <c r="D931" s="7" t="n">
        <f>HYPERLINK("https://www.somogyi.sk/product/tancujuci-hrajuci-mikulas-kdd-45-13986","https://www.somogyi.sk/product/tancujuci-hrajuci-mikulas-kdd-45-13986")</f>
        <v>0.0</v>
      </c>
      <c r="E931" s="7" t="n">
        <f>HYPERLINK("https://www.somogyi.sk/productimages/product_main_images/small/13986.jpg","https://www.somogyi.sk/productimages/product_main_images/small/13986.jpg")</f>
        <v>0.0</v>
      </c>
      <c r="F931" s="2" t="inlineStr">
        <is>
          <t>5999084920388</t>
        </is>
      </c>
      <c r="G931" s="4" t="inlineStr">
        <is>
          <t xml:space="preserve"> • umiestnenie: vnútorné použitie 
 • funkcie: Mikuláš tancuje na hudbu 
 • rozmery: 45 cm 
 • napájanie: 3 x AA batéria (nie je príslušenstvom)</t>
        </is>
      </c>
    </row>
    <row r="932">
      <c r="A932" s="3" t="inlineStr">
        <is>
          <t>KDD 20</t>
        </is>
      </c>
      <c r="B932" s="2" t="inlineStr">
        <is>
          <t>Hovoriaci plyšový jeleň</t>
        </is>
      </c>
      <c r="C932" s="1" t="n">
        <v>15.49</v>
      </c>
      <c r="D932" s="7" t="n">
        <f>HYPERLINK("https://www.somogyi.sk/product/hovoriaci-plysovy-jelen-kdd-20-16054","https://www.somogyi.sk/product/hovoriaci-plysovy-jelen-kdd-20-16054")</f>
        <v>0.0</v>
      </c>
      <c r="E932" s="7" t="n">
        <f>HYPERLINK("https://www.somogyi.sk/productimages/product_main_images/small/16054.jpg","https://www.somogyi.sk/productimages/product_main_images/small/16054.jpg")</f>
        <v>0.0</v>
      </c>
      <c r="F932" s="2" t="inlineStr">
        <is>
          <t>5999084940867</t>
        </is>
      </c>
      <c r="G932" s="4" t="inlineStr">
        <is>
          <t xml:space="preserve"> • umiestnenie: na vnútorné použitie 
 • funkcie: sob nahráva a opakuje zvuky, pričom sa pohybuje hore-dole 
 • rozmery: 16 x 20 x 13 cm 
 • napájanie: 3 x 1,5 V (AAA) batéria, nie je príslušenstvom</t>
        </is>
      </c>
    </row>
    <row r="933">
      <c r="A933" s="6" t="inlineStr">
        <is>
          <t xml:space="preserve">   Vianočné dekoračné osvetlenie / Projektor</t>
        </is>
      </c>
      <c r="B933" s="6" t="inlineStr">
        <is>
          <t/>
        </is>
      </c>
      <c r="C933" s="6" t="inlineStr">
        <is>
          <t/>
        </is>
      </c>
      <c r="D933" s="6" t="inlineStr">
        <is>
          <t/>
        </is>
      </c>
      <c r="E933" s="6" t="inlineStr">
        <is>
          <t/>
        </is>
      </c>
      <c r="F933" s="6" t="inlineStr">
        <is>
          <t/>
        </is>
      </c>
      <c r="G933" s="6" t="inlineStr">
        <is>
          <t/>
        </is>
      </c>
    </row>
    <row r="934">
      <c r="A934" s="3" t="inlineStr">
        <is>
          <t>DL IP 8</t>
        </is>
      </c>
      <c r="B934" s="2" t="inlineStr">
        <is>
          <t>Laserový projektor, 8 vzorov</t>
        </is>
      </c>
      <c r="C934" s="1" t="n">
        <v>41.99</v>
      </c>
      <c r="D934" s="7" t="n">
        <f>HYPERLINK("https://www.somogyi.sk/product/laserovy-projektor-8-vzorov-dl-ip-8-16084","https://www.somogyi.sk/product/laserovy-projektor-8-vzorov-dl-ip-8-16084")</f>
        <v>0.0</v>
      </c>
      <c r="E934" s="7" t="n">
        <f>HYPERLINK("https://www.somogyi.sk/productimages/product_main_images/small/16084.jpg","https://www.somogyi.sk/productimages/product_main_images/small/16084.jpg")</f>
        <v>0.0</v>
      </c>
      <c r="F934" s="2" t="inlineStr">
        <is>
          <t>5999084941161</t>
        </is>
      </c>
      <c r="G934" s="4" t="inlineStr">
        <is>
          <t xml:space="preserve"> • umiestnenie: na vonkajšie / vnútorné použitie 
 • funkcie: 8 vianočných svetelných efektov, priebežné červené a zelené laserové svetlo 
 • vzdialenosť premietania: 10 m 
 • plocha premietania: 200 mm2 
 • rozmery: Ø10 x 14, max. výška 31 cm 
 • napájanie: 230 V~ (adaptér)</t>
        </is>
      </c>
    </row>
    <row r="935">
      <c r="A935" s="3" t="inlineStr">
        <is>
          <t>DL IP 9</t>
        </is>
      </c>
      <c r="B935" s="2" t="inlineStr">
        <is>
          <t>Laserový projektor, zelená, červená, žiariaca</t>
        </is>
      </c>
      <c r="C935" s="1" t="n">
        <v>42.99</v>
      </c>
      <c r="D935" s="7" t="n">
        <f>HYPERLINK("https://www.somogyi.sk/product/laserovy-projektor-zelena-cervena-ziariaca-dl-ip-9-16501","https://www.somogyi.sk/product/laserovy-projektor-zelena-cervena-ziariaca-dl-ip-9-16501")</f>
        <v>0.0</v>
      </c>
      <c r="E935" s="7" t="n">
        <f>HYPERLINK("https://www.somogyi.sk/productimages/product_main_images/small/16501.jpg","https://www.somogyi.sk/productimages/product_main_images/small/16501.jpg")</f>
        <v>0.0</v>
      </c>
      <c r="F935" s="2" t="inlineStr">
        <is>
          <t>5999084945336</t>
        </is>
      </c>
      <c r="G935" s="4" t="inlineStr">
        <is>
          <t xml:space="preserve"> • umiestnenie: na vonkajšie / vnútorné použitie 
 • zdroj svetla: laser 
 • počet zdrojov svetla: 2 
 • farba zdrojov svetla: zelené, červeno laserové svetlo 
 • funkcie: 9 druhov lasrových programov 
 • napájanie: IP44 adaptér na vonkajšie použitie je príslušenstvom</t>
        </is>
      </c>
    </row>
    <row r="936">
      <c r="A936" s="6" t="inlineStr">
        <is>
          <t xml:space="preserve">   Vianočné dekoračné osvetlenie / Náhradná žiarovka</t>
        </is>
      </c>
      <c r="B936" s="6" t="inlineStr">
        <is>
          <t/>
        </is>
      </c>
      <c r="C936" s="6" t="inlineStr">
        <is>
          <t/>
        </is>
      </c>
      <c r="D936" s="6" t="inlineStr">
        <is>
          <t/>
        </is>
      </c>
      <c r="E936" s="6" t="inlineStr">
        <is>
          <t/>
        </is>
      </c>
      <c r="F936" s="6" t="inlineStr">
        <is>
          <t/>
        </is>
      </c>
      <c r="G936" s="6" t="inlineStr">
        <is>
          <t/>
        </is>
      </c>
    </row>
    <row r="937">
      <c r="A937" s="3" t="inlineStr">
        <is>
          <t>L 16L</t>
        </is>
      </c>
      <c r="B937" s="2" t="inlineStr">
        <is>
          <t xml:space="preserve">Náhradná LED ku KI 16L </t>
        </is>
      </c>
      <c r="C937" s="1" t="n">
        <v>2.09</v>
      </c>
      <c r="D937" s="7" t="n">
        <f>HYPERLINK("https://www.somogyi.sk/product/nahradna-led-ku-ki-16l-l-16l-12111","https://www.somogyi.sk/product/nahradna-led-ku-ki-16l-l-16l-12111")</f>
        <v>0.0</v>
      </c>
      <c r="E937" s="7" t="n">
        <f>HYPERLINK("https://www.somogyi.sk/productimages/product_main_images/small/12111.jpg","https://www.somogyi.sk/productimages/product_main_images/small/12111.jpg")</f>
        <v>0.0</v>
      </c>
      <c r="F937" s="2" t="inlineStr">
        <is>
          <t>5999084903237</t>
        </is>
      </c>
      <c r="G937" s="4" t="inlineStr">
        <is>
          <t xml:space="preserve"> • farba: teplá biela 
 • napätie: 3 V 
 • výkon: 0,06 W 
 • kompatibilita: KI 16L</t>
        </is>
      </c>
    </row>
    <row r="938">
      <c r="A938" s="3" t="inlineStr">
        <is>
          <t>L 7D</t>
        </is>
      </c>
      <c r="B938" s="2" t="inlineStr">
        <is>
          <t>Náhradná žiarovka k typom KAD 01/02/03</t>
        </is>
      </c>
      <c r="C938" s="1" t="n">
        <v>2.09</v>
      </c>
      <c r="D938" s="7" t="n">
        <f>HYPERLINK("https://www.somogyi.sk/product/nahradna-ziarovka-k-typom-kad-01-02-03-l-7d-4935","https://www.somogyi.sk/product/nahradna-ziarovka-k-typom-kad-01-02-03-l-7d-4935")</f>
        <v>0.0</v>
      </c>
      <c r="E938" s="7" t="n">
        <f>HYPERLINK("https://www.somogyi.sk/productimages/product_main_images/small/04935.jpg","https://www.somogyi.sk/productimages/product_main_images/small/04935.jpg")</f>
        <v>0.0</v>
      </c>
      <c r="F938" s="2" t="inlineStr">
        <is>
          <t>5998312743577</t>
        </is>
      </c>
      <c r="G938" s="4" t="inlineStr">
        <is>
          <t xml:space="preserve"> • farba: biela 
 • napätie: 34 V 
 • výkon: 3 W 
 • kompatibilita: KAD 01, KAD 02, KAD 03 
 • objímka: E10 
 • balenie: 3 ks / balenie</t>
        </is>
      </c>
    </row>
    <row r="939">
      <c r="A939" s="3" t="inlineStr">
        <is>
          <t>L 2040C/E10</t>
        </is>
      </c>
      <c r="B939" s="2" t="inlineStr">
        <is>
          <t>Náhradná žiarovka k typom KAD 07 a KAD 07/RD, E10</t>
        </is>
      </c>
      <c r="C939" s="1" t="n">
        <v>4.09</v>
      </c>
      <c r="D939" s="7" t="n">
        <f>HYPERLINK("https://www.somogyi.sk/product/nahradna-ziarovka-k-typom-kad-07-a-kad-07-rd-e10-l-2040c-e10-10270","https://www.somogyi.sk/product/nahradna-ziarovka-k-typom-kad-07-a-kad-07-rd-e10-l-2040c-e10-10270")</f>
        <v>0.0</v>
      </c>
      <c r="E939" s="7" t="n">
        <f>HYPERLINK("https://www.somogyi.sk/productimages/product_main_images/small/10270.jpg","https://www.somogyi.sk/productimages/product_main_images/small/10270.jpg")</f>
        <v>0.0</v>
      </c>
      <c r="F939" s="2" t="inlineStr">
        <is>
          <t>5998312788790</t>
        </is>
      </c>
      <c r="G939" s="4" t="inlineStr">
        <is>
          <t xml:space="preserve"> • farba: plameň sviečky 
 • napätie: 230 V 
 • výkon: 1,3 W 
 • kompatibilita: KAD 07, KAD 07/RD 
 • objímka: E10</t>
        </is>
      </c>
    </row>
    <row r="940">
      <c r="A940" s="3" t="inlineStr">
        <is>
          <t>L 4104</t>
        </is>
      </c>
      <c r="B940" s="2" t="inlineStr">
        <is>
          <t xml:space="preserve">Náhradná žiarovka k typom G 4104/4102/4101 </t>
        </is>
      </c>
      <c r="C940" s="1" t="n">
        <v>2.29</v>
      </c>
      <c r="D940" s="7" t="n">
        <f>HYPERLINK("https://www.somogyi.sk/product/nahradna-ziarovka-k-typom-g-4104-4102-4101-l-4104-4615","https://www.somogyi.sk/product/nahradna-ziarovka-k-typom-g-4104-4102-4101-l-4104-4615")</f>
        <v>0.0</v>
      </c>
      <c r="E940" s="7" t="n">
        <f>HYPERLINK("https://www.somogyi.sk/productimages/product_main_images/small/04615.jpg","https://www.somogyi.sk/productimages/product_main_images/small/04615.jpg")</f>
        <v>0.0</v>
      </c>
      <c r="F940" s="2" t="inlineStr">
        <is>
          <t>5998312740712</t>
        </is>
      </c>
      <c r="G940" s="4" t="inlineStr">
        <is>
          <t xml:space="preserve"> • farba: biela 
 • kompatibilita: G 4104</t>
        </is>
      </c>
    </row>
    <row r="941">
      <c r="A941" s="3" t="inlineStr">
        <is>
          <t>L 16KL</t>
        </is>
      </c>
      <c r="B941" s="2" t="inlineStr">
        <is>
          <t xml:space="preserve">Náhradná LED ku KIK 16L </t>
        </is>
      </c>
      <c r="C941" s="1" t="n">
        <v>0.85</v>
      </c>
      <c r="D941" s="7" t="n">
        <f>HYPERLINK("https://www.somogyi.sk/product/nahradna-led-ku-kik-16l-l-16kl-12113","https://www.somogyi.sk/product/nahradna-led-ku-kik-16l-l-16kl-12113")</f>
        <v>0.0</v>
      </c>
      <c r="E941" s="7" t="n">
        <f>HYPERLINK("https://www.somogyi.sk/productimages/product_main_images/small/12113.jpg","https://www.somogyi.sk/productimages/product_main_images/small/12113.jpg")</f>
        <v>0.0</v>
      </c>
      <c r="F941" s="2" t="inlineStr">
        <is>
          <t>5999084903251</t>
        </is>
      </c>
      <c r="G941" s="4" t="inlineStr">
        <is>
          <t xml:space="preserve"> • farba: červená 
 • napätie: 3,3 V 
 • výkon: 0,066 W 
 • kompatibilita: KIK 16/L</t>
        </is>
      </c>
    </row>
    <row r="942">
      <c r="A942" s="6" t="inlineStr">
        <is>
          <t xml:space="preserve">   Vianočné dekoračné osvetlenie / Halloween</t>
        </is>
      </c>
      <c r="B942" s="6" t="inlineStr">
        <is>
          <t/>
        </is>
      </c>
      <c r="C942" s="6" t="inlineStr">
        <is>
          <t/>
        </is>
      </c>
      <c r="D942" s="6" t="inlineStr">
        <is>
          <t/>
        </is>
      </c>
      <c r="E942" s="6" t="inlineStr">
        <is>
          <t/>
        </is>
      </c>
      <c r="F942" s="6" t="inlineStr">
        <is>
          <t/>
        </is>
      </c>
      <c r="G942" s="6" t="inlineStr">
        <is>
          <t/>
        </is>
      </c>
    </row>
    <row r="943">
      <c r="A943" s="3" t="inlineStr">
        <is>
          <t>HTT 40</t>
        </is>
      </c>
      <c r="B943" s="2" t="inlineStr">
        <is>
          <t>Strom Halloween s netopiermi</t>
        </is>
      </c>
      <c r="C943" s="1" t="n">
        <v>15.99</v>
      </c>
      <c r="D943" s="7" t="n">
        <f>HYPERLINK("https://www.somogyi.sk/product/strom-halloween-s-netopiermi-htt-40-16980","https://www.somogyi.sk/product/strom-halloween-s-netopiermi-htt-40-16980")</f>
        <v>0.0</v>
      </c>
      <c r="E943" s="7" t="n">
        <f>HYPERLINK("https://www.somogyi.sk/productimages/product_main_images/small/16980.jpg","https://www.somogyi.sk/productimages/product_main_images/small/16980.jpg")</f>
        <v>0.0</v>
      </c>
      <c r="F943" s="2" t="inlineStr">
        <is>
          <t>5999084950125</t>
        </is>
      </c>
      <c r="G943" s="4" t="inlineStr">
        <is>
          <t xml:space="preserve"> • vonkajšia / vnútorná: na vnútorné použitie 
 • zabudované osvetlenie: 40 x oranžová LED 
 • materiál: plastový 
 • napájanie: 3 x 1,5 V (AA) batéria, nie je príslušenstvom 
 • rozmery: 10 x 10 (podstavec) x 70 cm</t>
        </is>
      </c>
    </row>
    <row r="944">
      <c r="A944" s="6" t="inlineStr">
        <is>
          <t xml:space="preserve">   Vianočné dekoračné osvetlenie / Podstavec pod vianočný stromček</t>
        </is>
      </c>
      <c r="B944" s="6" t="inlineStr">
        <is>
          <t/>
        </is>
      </c>
      <c r="C944" s="6" t="inlineStr">
        <is>
          <t/>
        </is>
      </c>
      <c r="D944" s="6" t="inlineStr">
        <is>
          <t/>
        </is>
      </c>
      <c r="E944" s="6" t="inlineStr">
        <is>
          <t/>
        </is>
      </c>
      <c r="F944" s="6" t="inlineStr">
        <is>
          <t/>
        </is>
      </c>
      <c r="G944" s="6" t="inlineStr">
        <is>
          <t/>
        </is>
      </c>
    </row>
    <row r="945">
      <c r="A945" s="3" t="inlineStr">
        <is>
          <t>CTH 02</t>
        </is>
      </c>
      <c r="B945" s="2" t="inlineStr">
        <is>
          <t>Podstavec pre vianočný stromček</t>
        </is>
      </c>
      <c r="C945" s="1" t="n">
        <v>16.99</v>
      </c>
      <c r="D945" s="7" t="n">
        <f>HYPERLINK("https://www.somogyi.sk/product/podstavec-pre-vianocny-stromcek-cth-02-16989","https://www.somogyi.sk/product/podstavec-pre-vianocny-stromcek-cth-02-16989")</f>
        <v>0.0</v>
      </c>
      <c r="E945" s="7" t="n">
        <f>HYPERLINK("https://www.somogyi.sk/productimages/product_main_images/small/16989.jpg","https://www.somogyi.sk/productimages/product_main_images/small/16989.jpg")</f>
        <v>0.0</v>
      </c>
      <c r="F945" s="2" t="inlineStr">
        <is>
          <t>5999084950217</t>
        </is>
      </c>
      <c r="G945" s="4" t="inlineStr">
        <is>
          <t xml:space="preserve"> • vonkajšia / vnútorná: na vnútorné použitie 
 • N/A: 50 - 105 mm 
 • N/A: 2,1 m 
 • nádrž na vodu: 1,6 l 
 • rozmery: ∅38,5  x 16 cm</t>
        </is>
      </c>
    </row>
    <row r="946">
      <c r="A946" s="6" t="inlineStr">
        <is>
          <t xml:space="preserve">   Vianočné dekoračné osvetlenie / Nafukovacia figúra</t>
        </is>
      </c>
      <c r="B946" s="6" t="inlineStr">
        <is>
          <t/>
        </is>
      </c>
      <c r="C946" s="6" t="inlineStr">
        <is>
          <t/>
        </is>
      </c>
      <c r="D946" s="6" t="inlineStr">
        <is>
          <t/>
        </is>
      </c>
      <c r="E946" s="6" t="inlineStr">
        <is>
          <t/>
        </is>
      </c>
      <c r="F946" s="6" t="inlineStr">
        <is>
          <t/>
        </is>
      </c>
      <c r="G946" s="6" t="inlineStr">
        <is>
          <t/>
        </is>
      </c>
    </row>
    <row r="947">
      <c r="A947" s="3" t="inlineStr">
        <is>
          <t>KD 240 M</t>
        </is>
      </c>
      <c r="B947" s="2" t="inlineStr">
        <is>
          <t>Nafukovací Mikuláš</t>
        </is>
      </c>
      <c r="C947" s="1" t="n">
        <v>121.9</v>
      </c>
      <c r="D947" s="7" t="n">
        <f>HYPERLINK("https://www.somogyi.sk/product/nafukovaci-mikulas-kd-240-m-17012","https://www.somogyi.sk/product/nafukovaci-mikulas-kd-240-m-17012")</f>
        <v>0.0</v>
      </c>
      <c r="E947" s="7" t="n">
        <f>HYPERLINK("https://www.somogyi.sk/productimages/product_main_images/small/17012.jpg","https://www.somogyi.sk/productimages/product_main_images/small/17012.jpg")</f>
        <v>0.0</v>
      </c>
      <c r="F947" s="2" t="inlineStr">
        <is>
          <t>5999084950446</t>
        </is>
      </c>
      <c r="G947" s="4" t="inlineStr">
        <is>
          <t xml:space="preserve"> • na vonkajšie a vnútorné použitie 
 • odolný voči sneženiu, slabému dažďu 
 • osvetlenie: 3 ks bielej LED 
 • integrovaný ventilátor pre nafukovanie 
 • vrátane 6 ks kolíkov a 3 x 2 m upevňovacieho lana 
 • napájanie: sieťový adaptér na vonkajšie použitie 
 • dĺžka kábla adaptéra: 1,8 m</t>
        </is>
      </c>
    </row>
    <row r="948">
      <c r="A948" s="3" t="inlineStr">
        <is>
          <t>KD 240 K</t>
        </is>
      </c>
      <c r="B948" s="2" t="inlineStr">
        <is>
          <t>Nafukovací vianočný stromček</t>
        </is>
      </c>
      <c r="C948" s="1" t="n">
        <v>128.9</v>
      </c>
      <c r="D948" s="7" t="n">
        <f>HYPERLINK("https://www.somogyi.sk/product/nafukovaci-vianocny-stromcek-kd-240-k-17366","https://www.somogyi.sk/product/nafukovaci-vianocny-stromcek-kd-240-k-17366")</f>
        <v>0.0</v>
      </c>
      <c r="E948" s="7" t="n">
        <f>HYPERLINK("https://www.somogyi.sk/productimages/product_main_images/small/17366.jpg","https://www.somogyi.sk/productimages/product_main_images/small/17366.jpg")</f>
        <v>0.0</v>
      </c>
      <c r="F948" s="2" t="inlineStr">
        <is>
          <t>5999084953881</t>
        </is>
      </c>
      <c r="G948" s="4" t="inlineStr">
        <is>
          <t xml:space="preserve"> • vonkajšia / vnútorná: na vonkajšie / vnútorné použitie 
 • zabudovaný ventilátor: áno 
 • zabudované osvetlenie: s vnútorným LED projektorom a blikajúcimi LED 
 • ochrana proti vode: IPX1 figúrka: odolné voči zvisle dopadajúcim kvapkám vody 
 • príslušenstvo: 6 x kolík a 3 x upevňovacie lano 
 • napájanie: sieťový adaptér na vonkajšie použitie (je príslušenstvom) 
 • dĺžka napájacieho kábla: ~ 180 cm 
 • rozmery: 147 cm x 244 cm x 147 cm</t>
        </is>
      </c>
    </row>
    <row r="949">
      <c r="A949" s="3" t="inlineStr">
        <is>
          <t>KD 150 CS</t>
        </is>
      </c>
      <c r="B949" s="2" t="inlineStr">
        <is>
          <t>Nafukovacia kostra, Halloween, 150 cm, s vnútorným LED projektorom</t>
        </is>
      </c>
      <c r="C949" s="1" t="n">
        <v>89.99</v>
      </c>
      <c r="D949" s="7" t="n">
        <f>HYPERLINK("https://www.somogyi.sk/product/nafukovacia-kostra-halloween-150-cm-s-vnutornym-led-projektorom-kd-150-cs-17364","https://www.somogyi.sk/product/nafukovacia-kostra-halloween-150-cm-s-vnutornym-led-projektorom-kd-150-cs-17364")</f>
        <v>0.0</v>
      </c>
      <c r="E949" s="7" t="n">
        <f>HYPERLINK("https://www.somogyi.sk/productimages/product_main_images/small/17364.jpg","https://www.somogyi.sk/productimages/product_main_images/small/17364.jpg")</f>
        <v>0.0</v>
      </c>
      <c r="F949" s="2" t="inlineStr">
        <is>
          <t>5999084953867</t>
        </is>
      </c>
      <c r="G949" s="4" t="inlineStr">
        <is>
          <t xml:space="preserve"> • vonkajšia / vnútorná: na vonkajšie / vnútorné použitie 
 • zabudovaný ventilátor: áno 
 • zabudované osvetlenie: LED 
 • ochrana proti vode: IPX1 figúrka: odolné voči zvisle dopadajúcim kvapkám vody 
 • príslušenstvo: 4 x kolík a 2 x upevňovacie lano 
 • napájanie: sieťový adaptér na vonkajšie použitie (je príslušenstvom) 
 • dĺžka napájacieho kábla: ~ 180 cm 
 • rozmery: 61 x 56 x 152 cm</t>
        </is>
      </c>
    </row>
    <row r="950">
      <c r="A950" s="3" t="inlineStr">
        <is>
          <t>KD 180 T</t>
        </is>
      </c>
      <c r="B950" s="2" t="inlineStr">
        <is>
          <t>Nafukovacia tekvica Halloween, 180 cm, s vnútorným LED projektorom</t>
        </is>
      </c>
      <c r="C950" s="1" t="n">
        <v>132.9</v>
      </c>
      <c r="D950" s="7" t="n">
        <f>HYPERLINK("https://www.somogyi.sk/product/nafukovacia-tekvica-halloween-180-cm-s-vnutornym-led-projektorom-kd-180-t-17363","https://www.somogyi.sk/product/nafukovacia-tekvica-halloween-180-cm-s-vnutornym-led-projektorom-kd-180-t-17363")</f>
        <v>0.0</v>
      </c>
      <c r="E950" s="7" t="n">
        <f>HYPERLINK("https://www.somogyi.sk/productimages/product_main_images/small/17363.jpg","https://www.somogyi.sk/productimages/product_main_images/small/17363.jpg")</f>
        <v>0.0</v>
      </c>
      <c r="F950" s="2" t="inlineStr">
        <is>
          <t>5999084953850</t>
        </is>
      </c>
      <c r="G950" s="4" t="inlineStr">
        <is>
          <t xml:space="preserve"> • vonkajšia / vnútorná: na vonkajšie / vnútorné použitie 
 • zabudovaný ventilátor: áno 
 • zabudované osvetlenie: LED 
 • ochrana proti vode: IPX1 figúrka: odolné voči zvisle dopadajúcim kvapkám vody 
 • napájanie: sieťový adaptér na vonkajšie použitie (je príslušenstvom) 
 • dĺžka napájacieho kábla: ~ 180 cm 
 • rozmery: ∅94 cm, 183 cm</t>
        </is>
      </c>
    </row>
    <row r="951">
      <c r="A951" s="3" t="inlineStr">
        <is>
          <t>KD 120 H</t>
        </is>
      </c>
      <c r="B951" s="2" t="inlineStr">
        <is>
          <t>Nafukovací snehuliak</t>
        </is>
      </c>
      <c r="C951" s="1" t="n">
        <v>56.99</v>
      </c>
      <c r="D951" s="7" t="n">
        <f>HYPERLINK("https://www.somogyi.sk/product/nafukovaci-snehuliak-kd-120-h-17013","https://www.somogyi.sk/product/nafukovaci-snehuliak-kd-120-h-17013")</f>
        <v>0.0</v>
      </c>
      <c r="E951" s="7" t="n">
        <f>HYPERLINK("https://www.somogyi.sk/productimages/product_main_images/small/17013.jpg","https://www.somogyi.sk/productimages/product_main_images/small/17013.jpg")</f>
        <v>0.0</v>
      </c>
      <c r="F951" s="2" t="inlineStr">
        <is>
          <t>5999084950453</t>
        </is>
      </c>
      <c r="G951" s="4" t="inlineStr">
        <is>
          <t xml:space="preserve"> • vonkajšia / vnútorná: vonkajšie / vnútorné použitie 
 • zabudovaný ventilátor: áno 
 • zabudované osvetlenie: 3 biele LED 
 • príslušenstvo: 4 zapichovacie kolíky a 2 x 1 m upevňovacia šnúra 
 • dĺžka napájacieho kábla: ~1,8 m 
 • rozmery: 74 cm x 122 cm x 56 cm</t>
        </is>
      </c>
    </row>
    <row r="952">
      <c r="A952" s="3" t="inlineStr">
        <is>
          <t>KDP 120 H</t>
        </is>
      </c>
      <c r="B952" s="2" t="inlineStr">
        <is>
          <t>Nafukovací snehuliak</t>
        </is>
      </c>
      <c r="C952" s="1" t="n">
        <v>105.9</v>
      </c>
      <c r="D952" s="7" t="n">
        <f>HYPERLINK("https://www.somogyi.sk/product/nafukovaci-snehuliak-kdp-120-h-17015","https://www.somogyi.sk/product/nafukovaci-snehuliak-kdp-120-h-17015")</f>
        <v>0.0</v>
      </c>
      <c r="E952" s="7" t="n">
        <f>HYPERLINK("https://www.somogyi.sk/productimages/product_main_images/small/17015.jpg","https://www.somogyi.sk/productimages/product_main_images/small/17015.jpg")</f>
        <v>0.0</v>
      </c>
      <c r="F952" s="2" t="inlineStr">
        <is>
          <t>5999084950477</t>
        </is>
      </c>
      <c r="G952" s="4" t="inlineStr">
        <is>
          <t xml:space="preserve"> • vonkajšia / vnútorná: na vonkajšie / vnútorné použitie 
 • zabudovaný ventilátor: áno 
 • zabudované osvetlenie: 3 ks bielej LED 
 • ochrana proti vode: IPX1 figúrka: odolné voči zvisle dopadajúcim kvapkám vody 
 • príslušenstvo: 4 x kolík a 2 x 1 m upevňovacie lano 
 • napájanie: sieťový adaptér na vonkajšie použitie (je príslušenstvom) 
 • dĺžka napájacieho kábla: ~ 180 cm 
 • rozmery: 91 cm x 122 cm x 51 cm</t>
        </is>
      </c>
    </row>
    <row r="953">
      <c r="A953" s="6" t="inlineStr">
        <is>
          <t xml:space="preserve">   Elektrické nástroje / Vysokotlakový čistič</t>
        </is>
      </c>
      <c r="B953" s="6" t="inlineStr">
        <is>
          <t/>
        </is>
      </c>
      <c r="C953" s="6" t="inlineStr">
        <is>
          <t/>
        </is>
      </c>
      <c r="D953" s="6" t="inlineStr">
        <is>
          <t/>
        </is>
      </c>
      <c r="E953" s="6" t="inlineStr">
        <is>
          <t/>
        </is>
      </c>
      <c r="F953" s="6" t="inlineStr">
        <is>
          <t/>
        </is>
      </c>
      <c r="G953" s="6" t="inlineStr">
        <is>
          <t/>
        </is>
      </c>
    </row>
    <row r="954">
      <c r="A954" s="3" t="inlineStr">
        <is>
          <t>46177</t>
        </is>
      </c>
      <c r="B954" s="2" t="inlineStr">
        <is>
          <t>Michelin umývacia kefa</t>
        </is>
      </c>
      <c r="C954" s="1" t="n">
        <v>11.49</v>
      </c>
      <c r="D954" s="7" t="n">
        <f>HYPERLINK("https://www.somogyi.sk/product/michelin-umyvacia-kefa-46177-17383","https://www.somogyi.sk/product/michelin-umyvacia-kefa-46177-17383")</f>
        <v>0.0</v>
      </c>
      <c r="E954" s="7" t="n">
        <f>HYPERLINK("https://www.somogyi.sk/productimages/product_main_images/small/17383.jpg","https://www.somogyi.sk/productimages/product_main_images/small/17383.jpg")</f>
        <v>0.0</v>
      </c>
      <c r="F954" s="2" t="inlineStr">
        <is>
          <t>8016287461771</t>
        </is>
      </c>
      <c r="G954" s="4" t="inlineStr">
        <is>
          <t>Umývacia kefa</t>
        </is>
      </c>
    </row>
    <row r="955">
      <c r="A955" s="6" t="inlineStr">
        <is>
          <t xml:space="preserve">   Audio-video doplnky / Audio prevodník</t>
        </is>
      </c>
      <c r="B955" s="6" t="inlineStr">
        <is>
          <t/>
        </is>
      </c>
      <c r="C955" s="6" t="inlineStr">
        <is>
          <t/>
        </is>
      </c>
      <c r="D955" s="6" t="inlineStr">
        <is>
          <t/>
        </is>
      </c>
      <c r="E955" s="6" t="inlineStr">
        <is>
          <t/>
        </is>
      </c>
      <c r="F955" s="6" t="inlineStr">
        <is>
          <t/>
        </is>
      </c>
      <c r="G955" s="6" t="inlineStr">
        <is>
          <t/>
        </is>
      </c>
    </row>
    <row r="956">
      <c r="A956" s="3" t="inlineStr">
        <is>
          <t>DTA AUDIO</t>
        </is>
      </c>
      <c r="B956" s="2" t="inlineStr">
        <is>
          <t>Digitálny-analógový audio prevodník</t>
        </is>
      </c>
      <c r="C956" s="1" t="n">
        <v>27.99</v>
      </c>
      <c r="D956" s="7" t="n">
        <f>HYPERLINK("https://www.somogyi.sk/product/digitalny-analogovy-audio-prevodnik-dta-audio-16890","https://www.somogyi.sk/product/digitalny-analogovy-audio-prevodnik-dta-audio-16890")</f>
        <v>0.0</v>
      </c>
      <c r="E956" s="7" t="n">
        <f>HYPERLINK("https://www.somogyi.sk/productimages/product_main_images/small/16890.jpg","https://www.somogyi.sk/productimages/product_main_images/small/16890.jpg")</f>
        <v>0.0</v>
      </c>
      <c r="F956" s="2" t="inlineStr">
        <is>
          <t>5999084949228</t>
        </is>
      </c>
      <c r="G956" s="4" t="inlineStr">
        <is>
          <t xml:space="preserve"> • výstup: 2 x RCA (stereo) 
 • príslušenstvo: 1.5 m optický kábel, sieťový adaptér (5 V /1 A) 
 • napájanie: sieťový adaptér (5V / 1A), je prísl. 
 • rozmery: 51 x 26 x 41 mm</t>
        </is>
      </c>
    </row>
    <row r="957">
      <c r="A957" s="3" t="inlineStr">
        <is>
          <t>ATD VIDEO</t>
        </is>
      </c>
      <c r="B957" s="2" t="inlineStr">
        <is>
          <t>Analógový-digitálny video konverter</t>
        </is>
      </c>
      <c r="C957" s="1" t="n">
        <v>28.99</v>
      </c>
      <c r="D957" s="7" t="n">
        <f>HYPERLINK("https://www.somogyi.sk/product/analogovy-digitalny-video-konverter-atd-video-16620","https://www.somogyi.sk/product/analogovy-digitalny-video-konverter-atd-video-16620")</f>
        <v>0.0</v>
      </c>
      <c r="E957" s="7" t="n">
        <f>HYPERLINK("https://www.somogyi.sk/productimages/product_main_images/small/16620.jpg","https://www.somogyi.sk/productimages/product_main_images/small/16620.jpg")</f>
        <v>0.0</v>
      </c>
      <c r="F957" s="2" t="inlineStr">
        <is>
          <t>5999084946524</t>
        </is>
      </c>
      <c r="G957" s="4" t="inlineStr">
        <is>
          <t xml:space="preserve"> • vstup: 3 x RCA zásuvka (kompozit video a stereo zvuk) 
 • výstup: 1 x HDMI zásuvka 
 • príslušenstvo: miniUSB – USB A napájací kábel 
 • napájanie: 5 V [DC] / 180 mA (nie je príslušenstvom) 
 • rozmery: 60 x 55 x 20 mm</t>
        </is>
      </c>
    </row>
    <row r="958">
      <c r="A958" s="6" t="inlineStr">
        <is>
          <t xml:space="preserve">   Audio-video doplnky / HDMI kábel, HDMI prepínač a a/v kábel</t>
        </is>
      </c>
      <c r="B958" s="6" t="inlineStr">
        <is>
          <t/>
        </is>
      </c>
      <c r="C958" s="6" t="inlineStr">
        <is>
          <t/>
        </is>
      </c>
      <c r="D958" s="6" t="inlineStr">
        <is>
          <t/>
        </is>
      </c>
      <c r="E958" s="6" t="inlineStr">
        <is>
          <t/>
        </is>
      </c>
      <c r="F958" s="6" t="inlineStr">
        <is>
          <t/>
        </is>
      </c>
      <c r="G958" s="6" t="inlineStr">
        <is>
          <t/>
        </is>
      </c>
    </row>
    <row r="959">
      <c r="A959" s="3" t="inlineStr">
        <is>
          <t>VC 20-2</t>
        </is>
      </c>
      <c r="B959" s="2" t="inlineStr">
        <is>
          <t>Video kábel, 4 pólová 3,5 mm vidlica-3xRCA vidlica, stereo, 2m</t>
        </is>
      </c>
      <c r="C959" s="1" t="n">
        <v>3.19</v>
      </c>
      <c r="D959" s="7" t="n">
        <f>HYPERLINK("https://www.somogyi.sk/product/video-kabel-4-polova-3-5-mm-vidlica-3xrca-vidlica-stereo-2m-vc-20-2-5241","https://www.somogyi.sk/product/video-kabel-4-polova-3-5-mm-vidlica-3xrca-vidlica-stereo-2m-vc-20-2-5241")</f>
        <v>0.0</v>
      </c>
      <c r="E959" s="7" t="n">
        <f>HYPERLINK("https://www.somogyi.sk/productimages/product_main_images/small/05241.jpg","https://www.somogyi.sk/productimages/product_main_images/small/05241.jpg")</f>
        <v>0.0</v>
      </c>
      <c r="F959" s="2" t="inlineStr">
        <is>
          <t>5998312746288</t>
        </is>
      </c>
      <c r="G959" s="4" t="inlineStr">
        <is>
          <t xml:space="preserve"> • prípojky: 4 pólová Ø3,5 mm jack vidlica / 3 RCA vidlica 
 • dĺžka kábla: 2 m 
 • pozlátený: nie 
 • otáčateľný: nie 
 • ďalšie informácie: zapojenie, od jack vidlice s  Ø3,5 mm v poradi: audio vľavo / video / GND / audio vpravo (ku kamerám Panasonic a Sony)</t>
        </is>
      </c>
    </row>
    <row r="960">
      <c r="A960" s="3" t="inlineStr">
        <is>
          <t>A 4X</t>
        </is>
      </c>
      <c r="B960" s="2" t="inlineStr">
        <is>
          <t>Audio kábel, 3 RCA vidlica-3 RCA vidlica, 1,5 m, blister</t>
        </is>
      </c>
      <c r="C960" s="1" t="n">
        <v>2.99</v>
      </c>
      <c r="D960" s="7" t="n">
        <f>HYPERLINK("https://www.somogyi.sk/product/audio-kabel-3-rca-vidlica-3-rca-vidlica-1-5-m-blister-a-4x-5509","https://www.somogyi.sk/product/audio-kabel-3-rca-vidlica-3-rca-vidlica-1-5-m-blister-a-4x-5509")</f>
        <v>0.0</v>
      </c>
      <c r="E960" s="7" t="n">
        <f>HYPERLINK("https://www.somogyi.sk/productimages/product_main_images/small/05509.jpg","https://www.somogyi.sk/productimages/product_main_images/small/05509.jpg")</f>
        <v>0.0</v>
      </c>
      <c r="F960" s="2" t="inlineStr">
        <is>
          <t>5998312748725</t>
        </is>
      </c>
      <c r="G960" s="4" t="inlineStr">
        <is>
          <t xml:space="preserve"> • prípojky: 3 RCA vidlica / 3 RCA vidlica 
 • dĺžka kábla: 1,5 m 
 • pozlátený: nie 
 • otáčateľný: nie 
 • blister: áno</t>
        </is>
      </c>
    </row>
    <row r="961">
      <c r="A961" s="3" t="inlineStr">
        <is>
          <t>HDS 4,5</t>
        </is>
      </c>
      <c r="B961" s="2" t="inlineStr">
        <is>
          <t>HDMI kábel, 4,5 m</t>
        </is>
      </c>
      <c r="C961" s="1" t="n">
        <v>4.29</v>
      </c>
      <c r="D961" s="7" t="n">
        <f>HYPERLINK("https://www.somogyi.sk/product/hdmi-kabel-4-5-m-hds-4-5-14201","https://www.somogyi.sk/product/hdmi-kabel-4-5-m-hds-4-5-14201")</f>
        <v>0.0</v>
      </c>
      <c r="E961" s="7" t="n">
        <f>HYPERLINK("https://www.somogyi.sk/productimages/product_main_images/small/14201.jpg","https://www.somogyi.sk/productimages/product_main_images/small/14201.jpg")</f>
        <v>0.0</v>
      </c>
      <c r="F961" s="2" t="inlineStr">
        <is>
          <t>5999084922498</t>
        </is>
      </c>
      <c r="G961" s="4" t="inlineStr">
        <is>
          <t xml:space="preserve"> • prípojky: HDMI "A" vidlica / HDMI "A" vidlica 
 • dĺžka kábla: 4,5 m 
 • HDMI verzia: V1.4 
 • pozlátený: áno 
 • otáčateľný: nie</t>
        </is>
      </c>
    </row>
    <row r="962">
      <c r="A962" s="3" t="inlineStr">
        <is>
          <t>HDS 2</t>
        </is>
      </c>
      <c r="B962" s="2" t="inlineStr">
        <is>
          <t>HDMI kábel, 2 m</t>
        </is>
      </c>
      <c r="C962" s="1" t="n">
        <v>3.69</v>
      </c>
      <c r="D962" s="7" t="n">
        <f>HYPERLINK("https://www.somogyi.sk/product/hdmi-kabel-2-m-hds-2-14200","https://www.somogyi.sk/product/hdmi-kabel-2-m-hds-2-14200")</f>
        <v>0.0</v>
      </c>
      <c r="E962" s="7" t="n">
        <f>HYPERLINK("https://www.somogyi.sk/productimages/product_main_images/small/14200.jpg","https://www.somogyi.sk/productimages/product_main_images/small/14200.jpg")</f>
        <v>0.0</v>
      </c>
      <c r="F962" s="2" t="inlineStr">
        <is>
          <t>5999084922481</t>
        </is>
      </c>
      <c r="G962" s="4" t="inlineStr">
        <is>
          <t xml:space="preserve"> • prípojky: HDMI "A" vidlica - HDMI "A" vidlica 
 • dĺžka kábla: 2 m 
 • HDMI verzia: V1.4 
 • pozlátený: áno 
 • otáčateľný: nie</t>
        </is>
      </c>
    </row>
    <row r="963">
      <c r="A963" s="3" t="inlineStr">
        <is>
          <t>HDS 1</t>
        </is>
      </c>
      <c r="B963" s="2" t="inlineStr">
        <is>
          <t>HDMI kábel, 1 m</t>
        </is>
      </c>
      <c r="C963" s="1" t="n">
        <v>3.39</v>
      </c>
      <c r="D963" s="7" t="n">
        <f>HYPERLINK("https://www.somogyi.sk/product/hdmi-kabel-1-m-hds-1-14199","https://www.somogyi.sk/product/hdmi-kabel-1-m-hds-1-14199")</f>
        <v>0.0</v>
      </c>
      <c r="E963" s="7" t="n">
        <f>HYPERLINK("https://www.somogyi.sk/productimages/product_main_images/small/14199.jpg","https://www.somogyi.sk/productimages/product_main_images/small/14199.jpg")</f>
        <v>0.0</v>
      </c>
      <c r="F963" s="2" t="inlineStr">
        <is>
          <t>5999084922474</t>
        </is>
      </c>
      <c r="G963" s="4" t="inlineStr">
        <is>
          <t xml:space="preserve"> • prípojky: HDMI "A" vidlica - HDMI "A" vidlica 
 • dĺžka kábla: 1 m 
 • HDMI verzia: V1.4 
 • pozlátený: áno 
 • otáčateľný: nie</t>
        </is>
      </c>
    </row>
    <row r="964">
      <c r="A964" s="3" t="inlineStr">
        <is>
          <t>VC 3DX</t>
        </is>
      </c>
      <c r="B964" s="2" t="inlineStr">
        <is>
          <t>Videokábel, 21 pólová SCART vidlica-21 pólová SCART vidlica, stereo, 1,5m, blister</t>
        </is>
      </c>
      <c r="C964" s="1" t="n">
        <v>3.79</v>
      </c>
      <c r="D964" s="7" t="n">
        <f>HYPERLINK("https://www.somogyi.sk/product/videokabel-21-polova-scart-vidlica-21-polova-scart-vidlica-stereo-1-5m-blister-vc-3dx-2167","https://www.somogyi.sk/product/videokabel-21-polova-scart-vidlica-21-polova-scart-vidlica-stereo-1-5m-blister-vc-3dx-2167")</f>
        <v>0.0</v>
      </c>
      <c r="E964" s="7" t="n">
        <f>HYPERLINK("https://www.somogyi.sk/productimages/product_main_images/small/02167.jpg","https://www.somogyi.sk/productimages/product_main_images/small/02167.jpg")</f>
        <v>0.0</v>
      </c>
      <c r="F964" s="2" t="inlineStr">
        <is>
          <t>5998312724316</t>
        </is>
      </c>
      <c r="G964" s="4" t="inlineStr">
        <is>
          <t xml:space="preserve"> • prípojky: scart vidlica / scart vidlica 
 • dĺžka kábla: 1,5 m 
 • pozlátený: nie 
 • otáčateľný: nie 
 • ďalšie informácie: 21 pólov zapojených 
 • blister: áno</t>
        </is>
      </c>
    </row>
    <row r="965">
      <c r="A965" s="3" t="inlineStr">
        <is>
          <t>HD 4K/3</t>
        </is>
      </c>
      <c r="B965" s="2" t="inlineStr">
        <is>
          <t>HDMI, A vidlica - A vidlica,  3 m</t>
        </is>
      </c>
      <c r="C965" s="1" t="n">
        <v>9.09</v>
      </c>
      <c r="D965" s="7" t="n">
        <f>HYPERLINK("https://www.somogyi.sk/product/hdmi-a-vidlica-a-vidlica-3-m-hd-4k-3-16441","https://www.somogyi.sk/product/hdmi-a-vidlica-a-vidlica-3-m-hd-4k-3-16441")</f>
        <v>0.0</v>
      </c>
      <c r="E965" s="7" t="n">
        <f>HYPERLINK("https://www.somogyi.sk/productimages/product_main_images/small/16441.jpg","https://www.somogyi.sk/productimages/product_main_images/small/16441.jpg")</f>
        <v>0.0</v>
      </c>
      <c r="F965" s="2" t="inlineStr">
        <is>
          <t>5999084944735</t>
        </is>
      </c>
      <c r="G965" s="4" t="inlineStr">
        <is>
          <t xml:space="preserve"> • prípojky: HDMI "A" vidlica - HDMI "A" vidlica 
 • dĺžka kábla: 3 m 
 • HDMI verzia: V2.0 
 • pozlátený: áno 
 • ďalšie informácie: prémiová séria</t>
        </is>
      </c>
    </row>
    <row r="966">
      <c r="A966" s="3" t="inlineStr">
        <is>
          <t>A 4</t>
        </is>
      </c>
      <c r="B966" s="2" t="inlineStr">
        <is>
          <t>Audio kábel, 2 RCA vidlica-2 RCA vidlica, 1,5 m</t>
        </is>
      </c>
      <c r="C966" s="1" t="n">
        <v>2.59</v>
      </c>
      <c r="D966" s="7" t="n">
        <f>HYPERLINK("https://www.somogyi.sk/product/audio-kabel-2-rca-vidlica-2-rca-vidlica-1-5-m-a-4-5237","https://www.somogyi.sk/product/audio-kabel-2-rca-vidlica-2-rca-vidlica-1-5-m-a-4-5237")</f>
        <v>0.0</v>
      </c>
      <c r="E966" s="7" t="n">
        <f>HYPERLINK("https://www.somogyi.sk/productimages/product_main_images/small/05237.jpg","https://www.somogyi.sk/productimages/product_main_images/small/05237.jpg")</f>
        <v>0.0</v>
      </c>
      <c r="F966" s="2" t="inlineStr">
        <is>
          <t>5998312746240</t>
        </is>
      </c>
      <c r="G966" s="4" t="inlineStr">
        <is>
          <t xml:space="preserve"> • prípojky: 3 RCA vidlica / 3 RCA vidlica 
 • dĺžka kábla: 1,5 m 
 • pozlátený: nie 
 • otáčateľný: nie</t>
        </is>
      </c>
    </row>
    <row r="967">
      <c r="A967" s="3" t="inlineStr">
        <is>
          <t>HD 4K/1,8</t>
        </is>
      </c>
      <c r="B967" s="2" t="inlineStr">
        <is>
          <t>HDMI, A vidlica - A vidlica,  1,8 m</t>
        </is>
      </c>
      <c r="C967" s="1" t="n">
        <v>6.89</v>
      </c>
      <c r="D967" s="7" t="n">
        <f>HYPERLINK("https://www.somogyi.sk/product/hdmi-a-vidlica-a-vidlica-1-8-m-hd-4k-1-8-16440","https://www.somogyi.sk/product/hdmi-a-vidlica-a-vidlica-1-8-m-hd-4k-1-8-16440")</f>
        <v>0.0</v>
      </c>
      <c r="E967" s="7" t="n">
        <f>HYPERLINK("https://www.somogyi.sk/productimages/product_main_images/small/16440.jpg","https://www.somogyi.sk/productimages/product_main_images/small/16440.jpg")</f>
        <v>0.0</v>
      </c>
      <c r="F967" s="2" t="inlineStr">
        <is>
          <t>5999084944728</t>
        </is>
      </c>
      <c r="G967" s="4" t="inlineStr">
        <is>
          <t xml:space="preserve"> • prípojky: HDMI "A" vidlica - HDMI "A" vidlica 
 • dĺžka kábla: 1,8 m 
 • HDMI verzia: V2.0 
 • pozlátený: áno 
 • ďalšie informácie: prémiová séria</t>
        </is>
      </c>
    </row>
    <row r="968">
      <c r="A968" s="3" t="inlineStr">
        <is>
          <t>A 4-3X</t>
        </is>
      </c>
      <c r="B968" s="2" t="inlineStr">
        <is>
          <t>Audio kábel, 3 RCA vidlica-3 RCA vidlica, 3 m, blister</t>
        </is>
      </c>
      <c r="C968" s="1" t="n">
        <v>3.99</v>
      </c>
      <c r="D968" s="7" t="n">
        <f>HYPERLINK("https://www.somogyi.sk/product/audio-kabel-3-rca-vidlica-3-rca-vidlica-3-m-blister-a-4-3x-5510","https://www.somogyi.sk/product/audio-kabel-3-rca-vidlica-3-rca-vidlica-3-m-blister-a-4-3x-5510")</f>
        <v>0.0</v>
      </c>
      <c r="E968" s="7" t="n">
        <f>HYPERLINK("https://www.somogyi.sk/productimages/product_main_images/small/05510.jpg","https://www.somogyi.sk/productimages/product_main_images/small/05510.jpg")</f>
        <v>0.0</v>
      </c>
      <c r="F968" s="2" t="inlineStr">
        <is>
          <t>5998312748732</t>
        </is>
      </c>
      <c r="G968" s="4" t="inlineStr">
        <is>
          <t xml:space="preserve"> • prípojky: 4 RCA vidlica / 3 RCA vidlica 
 • dĺžka kábla: 3 m 
 • pozlátený: nie 
 • otáčateľný: nie 
 • blister: áno</t>
        </is>
      </c>
    </row>
    <row r="969">
      <c r="A969" s="3" t="inlineStr">
        <is>
          <t>A 4-3</t>
        </is>
      </c>
      <c r="B969" s="2" t="inlineStr">
        <is>
          <t>Audio kábel, 3 RCA vidlica-3 RCA vidlica, 3 m</t>
        </is>
      </c>
      <c r="C969" s="1" t="n">
        <v>3.59</v>
      </c>
      <c r="D969" s="7" t="n">
        <f>HYPERLINK("https://www.somogyi.sk/product/audio-kabel-3-rca-vidlica-3-rca-vidlica-3-m-a-4-3-5238","https://www.somogyi.sk/product/audio-kabel-3-rca-vidlica-3-rca-vidlica-3-m-a-4-3-5238")</f>
        <v>0.0</v>
      </c>
      <c r="E969" s="7" t="n">
        <f>HYPERLINK("https://www.somogyi.sk/productimages/product_main_images/small/05238.jpg","https://www.somogyi.sk/productimages/product_main_images/small/05238.jpg")</f>
        <v>0.0</v>
      </c>
      <c r="F969" s="2" t="inlineStr">
        <is>
          <t>5998312746257</t>
        </is>
      </c>
      <c r="G969" s="4" t="inlineStr">
        <is>
          <t xml:space="preserve"> • prípojky: 4 RCA vidlica / 3 RCA vidlica 
 • dĺžka kábla: 3 m 
 • pozlátený: nie 
 • otáčateľný: nie</t>
        </is>
      </c>
    </row>
    <row r="970">
      <c r="A970" s="3" t="inlineStr">
        <is>
          <t>STP 2,5</t>
        </is>
      </c>
      <c r="B970" s="2" t="inlineStr">
        <is>
          <t>STP Patch kábel, CAT 8, 2,5 m</t>
        </is>
      </c>
      <c r="C970" s="1" t="n">
        <v>3.79</v>
      </c>
      <c r="D970" s="7" t="n">
        <f>HYPERLINK("https://www.somogyi.sk/product/stp-patch-kabel-cat-8-2-5-m-stp-2-5-16854","https://www.somogyi.sk/product/stp-patch-kabel-cat-8-2-5-m-stp-2-5-16854")</f>
        <v>0.0</v>
      </c>
      <c r="E970" s="7" t="n">
        <f>HYPERLINK("https://www.somogyi.sk/productimages/product_main_images/small/16854.jpg","https://www.somogyi.sk/productimages/product_main_images/small/16854.jpg")</f>
        <v>0.0</v>
      </c>
      <c r="F970" s="2" t="inlineStr">
        <is>
          <t>5999084948863</t>
        </is>
      </c>
      <c r="G970" s="4" t="inlineStr">
        <is>
          <t xml:space="preserve"> • prípojky: tienené RJ45 prípojky 
 • dĺžka kábla: 2,5 m 
 • ďalšie informácie: CAT 8 / prenosová rýchlosť až 40 gigabitov / spätne kompatibilná s komponentmi CAT 6A a CAT 5E</t>
        </is>
      </c>
    </row>
    <row r="971">
      <c r="A971" s="3" t="inlineStr">
        <is>
          <t>VC 3D</t>
        </is>
      </c>
      <c r="B971" s="2" t="inlineStr">
        <is>
          <t>Video kábel, 21 pólová SCART vidlica-21 pólová SCART vidlica, stereo, 1,5m</t>
        </is>
      </c>
      <c r="C971" s="1" t="n">
        <v>3.29</v>
      </c>
      <c r="D971" s="7" t="n">
        <f>HYPERLINK("https://www.somogyi.sk/product/video-kabel-21-polova-scart-vidlica-21-polova-scart-vidlica-stereo-1-5m-vc-3d-1956","https://www.somogyi.sk/product/video-kabel-21-polova-scart-vidlica-21-polova-scart-vidlica-stereo-1-5m-vc-3d-1956")</f>
        <v>0.0</v>
      </c>
      <c r="E971" s="7" t="n">
        <f>HYPERLINK("https://www.somogyi.sk/productimages/product_main_images/small/01956.jpg","https://www.somogyi.sk/productimages/product_main_images/small/01956.jpg")</f>
        <v>0.0</v>
      </c>
      <c r="F971" s="2" t="inlineStr">
        <is>
          <t>2220057200057</t>
        </is>
      </c>
      <c r="G971" s="4" t="inlineStr">
        <is>
          <t xml:space="preserve"> • prípojky: scart vidlica / scart vidlica 
 • dĺžka kábla: 1,5 m 
 • pozlátený: nie 
 • otáčateľný: nie 
 • ďalšie informácie: 21 pólov zapojených</t>
        </is>
      </c>
    </row>
    <row r="972">
      <c r="A972" s="3" t="inlineStr">
        <is>
          <t>STP 1,5</t>
        </is>
      </c>
      <c r="B972" s="2" t="inlineStr">
        <is>
          <t>STP Patch kábel, CAT 8, 1,5 m</t>
        </is>
      </c>
      <c r="C972" s="1" t="n">
        <v>2.39</v>
      </c>
      <c r="D972" s="7" t="n">
        <f>HYPERLINK("https://www.somogyi.sk/product/stp-patch-kabel-cat-8-1-5-m-stp-1-5-16853","https://www.somogyi.sk/product/stp-patch-kabel-cat-8-1-5-m-stp-1-5-16853")</f>
        <v>0.0</v>
      </c>
      <c r="E972" s="7" t="n">
        <f>HYPERLINK("https://www.somogyi.sk/productimages/product_main_images/small/16853.jpg","https://www.somogyi.sk/productimages/product_main_images/small/16853.jpg")</f>
        <v>0.0</v>
      </c>
      <c r="F972" s="2" t="inlineStr">
        <is>
          <t>5999084948856</t>
        </is>
      </c>
      <c r="G972" s="4" t="inlineStr">
        <is>
          <t xml:space="preserve"> • prípojky: tienené RJ45 prípojky 
 • dĺžka kábla: 1,5 m 
 • ďalšie informácie: CAT 8 / prenosová rýchlosť až 40 gigabitov / spätne kompatibilná s komponentmi CAT 6A a CAT 5E</t>
        </is>
      </c>
    </row>
    <row r="973">
      <c r="A973" s="3" t="inlineStr">
        <is>
          <t>V 50S</t>
        </is>
      </c>
      <c r="B973" s="2" t="inlineStr">
        <is>
          <t>Video redukcia, 21 pólová SCART vidlica-3xRCA zásuvka+SVHS zásuvka</t>
        </is>
      </c>
      <c r="C973" s="1" t="n">
        <v>2.59</v>
      </c>
      <c r="D973" s="7" t="n">
        <f>HYPERLINK("https://www.somogyi.sk/product/video-redukcia-21-polova-scart-vidlica-3xrca-zasuvka-svhs-zasuvka-v-50s-4217","https://www.somogyi.sk/product/video-redukcia-21-polova-scart-vidlica-3xrca-zasuvka-svhs-zasuvka-v-50s-4217")</f>
        <v>0.0</v>
      </c>
      <c r="E973" s="7" t="n">
        <f>HYPERLINK("https://www.somogyi.sk/productimages/product_main_images/small/04217.jpg","https://www.somogyi.sk/productimages/product_main_images/small/04217.jpg")</f>
        <v>0.0</v>
      </c>
      <c r="F973" s="2" t="inlineStr">
        <is>
          <t>5998312737484</t>
        </is>
      </c>
      <c r="G973" s="4" t="inlineStr">
        <is>
          <t xml:space="preserve"> • prípojky: scart vidlica / 3 RCA zásuvka, SVHS zásuvka 
 • pozlátený: nie 
 • otáčateľný: nie 
 • ďalšie informácie: s prepínačom výstup/vstup</t>
        </is>
      </c>
    </row>
    <row r="974">
      <c r="A974" s="3" t="inlineStr">
        <is>
          <t>V 50SX</t>
        </is>
      </c>
      <c r="B974" s="2" t="inlineStr">
        <is>
          <t>Video converter, 21 pólová SCART vidlica-3xRCA zásuvka+SVHS zásuvka, blister</t>
        </is>
      </c>
      <c r="C974" s="1" t="n">
        <v>3.09</v>
      </c>
      <c r="D974" s="7" t="n">
        <f>HYPERLINK("https://www.somogyi.sk/product/video-converter-21-polova-scart-vidlica-3xrca-zasuvka-svhs-zasuvka-blister-v-50sx-4338","https://www.somogyi.sk/product/video-converter-21-polova-scart-vidlica-3xrca-zasuvka-svhs-zasuvka-blister-v-50sx-4338")</f>
        <v>0.0</v>
      </c>
      <c r="E974" s="7" t="n">
        <f>HYPERLINK("https://www.somogyi.sk/productimages/product_main_images/small/04338.jpg","https://www.somogyi.sk/productimages/product_main_images/small/04338.jpg")</f>
        <v>0.0</v>
      </c>
      <c r="F974" s="2" t="inlineStr">
        <is>
          <t>5998312738016</t>
        </is>
      </c>
      <c r="G974" s="4" t="inlineStr">
        <is>
          <t xml:space="preserve"> • prípojky: scart vidlica / 3 RCA zásuvka, SVHS zásuvka 
 • pozlátený: nie 
 • otáčateľný: nie 
 • ďalšie informácie: s prepínačom výstup/vstup 
 • blister: áno</t>
        </is>
      </c>
    </row>
    <row r="975">
      <c r="A975" s="6" t="inlineStr">
        <is>
          <t xml:space="preserve">   Audio-video doplnky / Audio / koaxiálny pripojovací kábel</t>
        </is>
      </c>
      <c r="B975" s="6" t="inlineStr">
        <is>
          <t/>
        </is>
      </c>
      <c r="C975" s="6" t="inlineStr">
        <is>
          <t/>
        </is>
      </c>
      <c r="D975" s="6" t="inlineStr">
        <is>
          <t/>
        </is>
      </c>
      <c r="E975" s="6" t="inlineStr">
        <is>
          <t/>
        </is>
      </c>
      <c r="F975" s="6" t="inlineStr">
        <is>
          <t/>
        </is>
      </c>
      <c r="G975" s="6" t="inlineStr">
        <is>
          <t/>
        </is>
      </c>
    </row>
    <row r="976">
      <c r="A976" s="3" t="inlineStr">
        <is>
          <t>RF 10</t>
        </is>
      </c>
      <c r="B976" s="2" t="inlineStr">
        <is>
          <t>Koaxiálny kábel, vidlica-zásuvka, 10m</t>
        </is>
      </c>
      <c r="C976" s="1" t="n">
        <v>3.19</v>
      </c>
      <c r="D976" s="7" t="n">
        <f>HYPERLINK("https://www.somogyi.sk/product/koaxialny-kabel-vidlica-zasuvka-10m-rf-10-1817","https://www.somogyi.sk/product/koaxialny-kabel-vidlica-zasuvka-10m-rf-10-1817")</f>
        <v>0.0</v>
      </c>
      <c r="E976" s="7" t="n">
        <f>HYPERLINK("https://www.somogyi.sk/productimages/product_main_images/small/01817.jpg","https://www.somogyi.sk/productimages/product_main_images/small/01817.jpg")</f>
        <v>0.0</v>
      </c>
      <c r="F976" s="2" t="inlineStr">
        <is>
          <t>5998312703380</t>
        </is>
      </c>
      <c r="G976" s="4" t="inlineStr">
        <is>
          <t xml:space="preserve"> • prípojky: koaxiálna vidlica / koaxiálna vidlica 
 • dĺžka kábla: 10 m 
 • pozlátený: nie 
 • kovový kryt prípojky: nie 
 • farba: biela</t>
        </is>
      </c>
    </row>
    <row r="977">
      <c r="A977" s="3" t="inlineStr">
        <is>
          <t>RF 5</t>
        </is>
      </c>
      <c r="B977" s="2" t="inlineStr">
        <is>
          <t>Koaxiálny kábel, vidlica-zásuvka, 5m</t>
        </is>
      </c>
      <c r="C977" s="1" t="n">
        <v>2.09</v>
      </c>
      <c r="D977" s="7" t="n">
        <f>HYPERLINK("https://www.somogyi.sk/product/koaxialny-kabel-vidlica-zasuvka-5m-rf-5-1819","https://www.somogyi.sk/product/koaxialny-kabel-vidlica-zasuvka-5m-rf-5-1819")</f>
        <v>0.0</v>
      </c>
      <c r="E977" s="7" t="n">
        <f>HYPERLINK("https://www.somogyi.sk/productimages/product_main_images/small/01819.jpg","https://www.somogyi.sk/productimages/product_main_images/small/01819.jpg")</f>
        <v>0.0</v>
      </c>
      <c r="F977" s="2" t="inlineStr">
        <is>
          <t>5998312703403</t>
        </is>
      </c>
      <c r="G977" s="4" t="inlineStr">
        <is>
          <t xml:space="preserve"> • prípojky: koaxiálna vidlica / koaxiálna vidlica 
 • dĺžka kábla: 5 m 
 • pozlátený: nie 
 • kovový kryt prípojky: nie 
 • farba: biela</t>
        </is>
      </c>
    </row>
    <row r="978">
      <c r="A978" s="3" t="inlineStr">
        <is>
          <t>A 3</t>
        </is>
      </c>
      <c r="B978" s="2" t="inlineStr">
        <is>
          <t>Audio kábel, 2 RCA vidlica-2 RCA vidlica, 1,5 m</t>
        </is>
      </c>
      <c r="C978" s="1" t="n">
        <v>1.79</v>
      </c>
      <c r="D978" s="7" t="n">
        <f>HYPERLINK("https://www.somogyi.sk/product/audio-kabel-2-rca-vidlica-2-rca-vidlica-1-5-m-a-3-1675","https://www.somogyi.sk/product/audio-kabel-2-rca-vidlica-2-rca-vidlica-1-5-m-a-3-1675")</f>
        <v>0.0</v>
      </c>
      <c r="E978" s="7" t="n">
        <f>HYPERLINK("https://www.somogyi.sk/productimages/product_main_images/small/01675.jpg","https://www.somogyi.sk/productimages/product_main_images/small/01675.jpg")</f>
        <v>0.0</v>
      </c>
      <c r="F978" s="2" t="inlineStr">
        <is>
          <t>5998312700327</t>
        </is>
      </c>
      <c r="G978" s="4" t="inlineStr">
        <is>
          <t xml:space="preserve"> • prípojky: 2 x RCA vidlica / 2 x RCA vidlica 
 • dĺžka kábla: 1,5 m 
 • pozlátený: nie 
 • kovový kryt prípojky: nie 
 • farba: čierna</t>
        </is>
      </c>
    </row>
    <row r="979">
      <c r="A979" s="3" t="inlineStr">
        <is>
          <t>A 3-1M</t>
        </is>
      </c>
      <c r="B979" s="2" t="inlineStr">
        <is>
          <t>Audio kábel, 2 RCA kovová vidlica-2 RCA kovová vidlica, 1 m</t>
        </is>
      </c>
      <c r="C979" s="1" t="n">
        <v>5.89</v>
      </c>
      <c r="D979" s="7" t="n">
        <f>HYPERLINK("https://www.somogyi.sk/product/audio-kabel-2-rca-kovova-vidlica-2-rca-kovova-vidlica-1-m-a-3-1m-14289","https://www.somogyi.sk/product/audio-kabel-2-rca-kovova-vidlica-2-rca-kovova-vidlica-1-m-a-3-1m-14289")</f>
        <v>0.0</v>
      </c>
      <c r="E979" s="7" t="n">
        <f>HYPERLINK("https://www.somogyi.sk/productimages/product_main_images/small/14289.jpg","https://www.somogyi.sk/productimages/product_main_images/small/14289.jpg")</f>
        <v>0.0</v>
      </c>
      <c r="F979" s="2" t="inlineStr">
        <is>
          <t>5999084923372</t>
        </is>
      </c>
      <c r="G979" s="4" t="inlineStr">
        <is>
          <t xml:space="preserve"> • prípojky: 2 x RCA vidlica / 2 x RCA vidlica 
 • dĺžka kábla: 1 m 
 • pozlátený: áno 
 • kovový kryt prípojky: áno 
 • ďalšie informácie: bezkyslíkatá meď 
 • farba: oceľová modrá</t>
        </is>
      </c>
    </row>
    <row r="980">
      <c r="A980" s="3" t="inlineStr">
        <is>
          <t>AC 16M</t>
        </is>
      </c>
      <c r="B980" s="2" t="inlineStr">
        <is>
          <t>Audio rozbočovač, 3,5 mm kovová stereo vidlica-2x3,5 mm kovová stereo zásuvka, 0,15 m</t>
        </is>
      </c>
      <c r="C980" s="1" t="n">
        <v>4.19</v>
      </c>
      <c r="D980" s="7" t="n">
        <f>HYPERLINK("https://www.somogyi.sk/product/audio-rozbocovac-3-5-mm-kovova-stereo-vidlica-2x3-5-mm-kovova-stereo-zasuvka-0-15-m-ac-16m-14288","https://www.somogyi.sk/product/audio-rozbocovac-3-5-mm-kovova-stereo-vidlica-2x3-5-mm-kovova-stereo-zasuvka-0-15-m-ac-16m-14288")</f>
        <v>0.0</v>
      </c>
      <c r="E980" s="7" t="n">
        <f>HYPERLINK("https://www.somogyi.sk/productimages/product_main_images/small/14288.jpg","https://www.somogyi.sk/productimages/product_main_images/small/14288.jpg")</f>
        <v>0.0</v>
      </c>
      <c r="F980" s="2" t="inlineStr">
        <is>
          <t>5999084923365</t>
        </is>
      </c>
      <c r="G980" s="4" t="inlineStr">
        <is>
          <t xml:space="preserve"> • prípojky: Ø3,5 mm vidlica / 2 x Ø3,5 mm zásuvka 
 • dĺžka kábla: 15 cm 
 • pozlátený: áno 
 • kovový kryt prípojky: áno 
 • ďalšie informácie: bezkyslíkatá meď 
 • farba: oceľová modrá</t>
        </is>
      </c>
    </row>
    <row r="981">
      <c r="A981" s="3" t="inlineStr">
        <is>
          <t>RF 10X</t>
        </is>
      </c>
      <c r="B981" s="2" t="inlineStr">
        <is>
          <t>Koaxiálny kábel, vidlica-zásuvka, 10m, blister</t>
        </is>
      </c>
      <c r="C981" s="1" t="n">
        <v>3.49</v>
      </c>
      <c r="D981" s="7" t="n">
        <f>HYPERLINK("https://www.somogyi.sk/product/koaxialny-kabel-vidlica-zasuvka-10m-blister-rf-10x-2161","https://www.somogyi.sk/product/koaxialny-kabel-vidlica-zasuvka-10m-blister-rf-10x-2161")</f>
        <v>0.0</v>
      </c>
      <c r="E981" s="7" t="n">
        <f>HYPERLINK("https://www.somogyi.sk/productimages/product_main_images/small/02161.jpg","https://www.somogyi.sk/productimages/product_main_images/small/02161.jpg")</f>
        <v>0.0</v>
      </c>
      <c r="F981" s="2" t="inlineStr">
        <is>
          <t>5998312724255</t>
        </is>
      </c>
      <c r="G981" s="4" t="inlineStr">
        <is>
          <t xml:space="preserve"> • prípojky: koaxiálna vidlica / koaxiálna vidlica 
 • dĺžka kábla: 10 m 
 • pozlátený: nie 
 • kovový kryt prípojky: nie 
 • farba: biela 
 • blister: áno</t>
        </is>
      </c>
    </row>
    <row r="982">
      <c r="A982" s="3" t="inlineStr">
        <is>
          <t>RF 1X</t>
        </is>
      </c>
      <c r="B982" s="2" t="inlineStr">
        <is>
          <t>Koaxiálny kábel, vidlica-zásuvka, 1,5m, blister</t>
        </is>
      </c>
      <c r="C982" s="1" t="n">
        <v>1.45</v>
      </c>
      <c r="D982" s="7" t="n">
        <f>HYPERLINK("https://www.somogyi.sk/product/koaxialny-kabel-vidlica-zasuvka-1-5m-blister-rf-1x-2158","https://www.somogyi.sk/product/koaxialny-kabel-vidlica-zasuvka-1-5m-blister-rf-1x-2158")</f>
        <v>0.0</v>
      </c>
      <c r="E982" s="7" t="n">
        <f>HYPERLINK("https://www.somogyi.sk/productimages/product_main_images/small/02158.jpg","https://www.somogyi.sk/productimages/product_main_images/small/02158.jpg")</f>
        <v>0.0</v>
      </c>
      <c r="F982" s="2" t="inlineStr">
        <is>
          <t>5998312724217</t>
        </is>
      </c>
      <c r="G982" s="4" t="inlineStr">
        <is>
          <t xml:space="preserve"> • prípojky: koaxiálna vidlica / koaxiálna vidlica 
 • dĺžka kábla: 1,5 m 
 • pozlátený: nie 
 • kovový kryt prípojky: nie 
 • farba: biela 
 • blister: áno</t>
        </is>
      </c>
    </row>
    <row r="983">
      <c r="A983" s="3" t="inlineStr">
        <is>
          <t>A 3X</t>
        </is>
      </c>
      <c r="B983" s="2" t="inlineStr">
        <is>
          <t>Audio kábel, 2 RCA vidlica-2 RCA vidlica, 1,5 m, blister</t>
        </is>
      </c>
      <c r="C983" s="1" t="n">
        <v>2.19</v>
      </c>
      <c r="D983" s="7" t="n">
        <f>HYPERLINK("https://www.somogyi.sk/product/audio-kabel-2-rca-vidlica-2-rca-vidlica-1-5-m-blister-a-3x-2145","https://www.somogyi.sk/product/audio-kabel-2-rca-vidlica-2-rca-vidlica-1-5-m-blister-a-3x-2145")</f>
        <v>0.0</v>
      </c>
      <c r="E983" s="7" t="n">
        <f>HYPERLINK("https://www.somogyi.sk/productimages/product_main_images/small/02145.jpg","https://www.somogyi.sk/productimages/product_main_images/small/02145.jpg")</f>
        <v>0.0</v>
      </c>
      <c r="F983" s="2" t="inlineStr">
        <is>
          <t>5998312724088</t>
        </is>
      </c>
      <c r="G983" s="4" t="inlineStr">
        <is>
          <t xml:space="preserve"> • prípojky: 2 x RCA vidlica / 2 x RCA vidlica 
 • dĺžka kábla: 1,5 m 
 • pozlátený: nie 
 • kovový kryt prípojky: nie 
 • farba: čierna 
 • blister: áno</t>
        </is>
      </c>
    </row>
    <row r="984">
      <c r="A984" s="3" t="inlineStr">
        <is>
          <t>OPK 2/1,5X</t>
        </is>
      </c>
      <c r="B984" s="2" t="inlineStr">
        <is>
          <t>Optický kábel, 1,5m, blister</t>
        </is>
      </c>
      <c r="C984" s="1" t="n">
        <v>5.29</v>
      </c>
      <c r="D984" s="7" t="n">
        <f>HYPERLINK("https://www.somogyi.sk/product/opticky-kabel-1-5m-blister-opk-2-1-5x-3000","https://www.somogyi.sk/product/opticky-kabel-1-5m-blister-opk-2-1-5x-3000")</f>
        <v>0.0</v>
      </c>
      <c r="E984" s="7" t="n">
        <f>HYPERLINK("https://www.somogyi.sk/productimages/product_main_images/small/03000.jpg","https://www.somogyi.sk/productimages/product_main_images/small/03000.jpg")</f>
        <v>0.0</v>
      </c>
      <c r="F984" s="2" t="inlineStr">
        <is>
          <t>5998312733240</t>
        </is>
      </c>
      <c r="G984" s="4" t="inlineStr">
        <is>
          <t xml:space="preserve"> • prípojky: Toslink / Toslink 
 • dĺžka kábla: 1,5 m 
 • pozlátený: nie 
 • kovový kryt prípojky: nie 
 • ďalšie informácie: optický kábel (Ø2,2 mm), kryt proti prachu 
 • farba: čierna 
 • blister: áno</t>
        </is>
      </c>
    </row>
    <row r="985">
      <c r="A985" s="3" t="inlineStr">
        <is>
          <t>A 49-1M</t>
        </is>
      </c>
      <c r="B985" s="2" t="inlineStr">
        <is>
          <t>Audio kábel, 3,5mm stereo kovová vidlica-2 RCA kovová zásuvka, 1m</t>
        </is>
      </c>
      <c r="C985" s="1" t="n">
        <v>5.09</v>
      </c>
      <c r="D985" s="7" t="n">
        <f>HYPERLINK("https://www.somogyi.sk/product/audio-kabel-3-5mm-stereo-kovova-vidlica-2-rca-kovova-zasuvka-1m-a-49-1m-14287","https://www.somogyi.sk/product/audio-kabel-3-5mm-stereo-kovova-vidlica-2-rca-kovova-zasuvka-1m-a-49-1m-14287")</f>
        <v>0.0</v>
      </c>
      <c r="E985" s="7" t="n">
        <f>HYPERLINK("https://www.somogyi.sk/productimages/product_main_images/small/14287.jpg","https://www.somogyi.sk/productimages/product_main_images/small/14287.jpg")</f>
        <v>0.0</v>
      </c>
      <c r="F985" s="2" t="inlineStr">
        <is>
          <t>5999084923358</t>
        </is>
      </c>
      <c r="G985" s="4" t="inlineStr">
        <is>
          <t xml:space="preserve"> • prípojky: Ø3,5 mm vidlica / 2 x RCA vidlica 
 • dĺžka kábla: 1 m 
 • pozlátený: áno 
 • kovový kryt prípojky: áno 
 • ďalšie informácie: bezkyslíkatá meď 
 • farba: oceľová modrá</t>
        </is>
      </c>
    </row>
    <row r="986">
      <c r="A986" s="3" t="inlineStr">
        <is>
          <t>OPK 2/1,5</t>
        </is>
      </c>
      <c r="B986" s="2" t="inlineStr">
        <is>
          <t>Optický kábel, 1,5m</t>
        </is>
      </c>
      <c r="C986" s="1" t="n">
        <v>4.69</v>
      </c>
      <c r="D986" s="7" t="n">
        <f>HYPERLINK("https://www.somogyi.sk/product/opticky-kabel-1-5m-opk-2-1-5-2708","https://www.somogyi.sk/product/opticky-kabel-1-5m-opk-2-1-5-2708")</f>
        <v>0.0</v>
      </c>
      <c r="E986" s="7" t="n">
        <f>HYPERLINK("https://www.somogyi.sk/productimages/product_main_images/small/02708.jpg","https://www.somogyi.sk/productimages/product_main_images/small/02708.jpg")</f>
        <v>0.0</v>
      </c>
      <c r="F986" s="2" t="inlineStr">
        <is>
          <t>5998312730324</t>
        </is>
      </c>
      <c r="G986" s="4" t="inlineStr">
        <is>
          <t xml:space="preserve"> • prípojky: Toslink / Toslink 
 • dĺžka kábla: 1,5 m 
 • pozlátený: nie 
 • kovový kryt prípojky: nie 
 • ďalšie informácie: optický  kábel (Ø2,2 mm), kryt proti prachu 
 • farba: čierna</t>
        </is>
      </c>
    </row>
    <row r="987">
      <c r="A987" s="3" t="inlineStr">
        <is>
          <t>A 54-2.5M</t>
        </is>
      </c>
      <c r="B987" s="2" t="inlineStr">
        <is>
          <t>Audio kábel, 3,5 mm stereo kovová vidlica-3,5 mm stereo kovová vidlica, 2,5 m</t>
        </is>
      </c>
      <c r="C987" s="1" t="n">
        <v>4.29</v>
      </c>
      <c r="D987" s="7" t="n">
        <f>HYPERLINK("https://www.somogyi.sk/product/audio-kabel-3-5-mm-stereo-kovova-vidlica-3-5-mm-stereo-kovova-vidlica-2-5-m-a-54-2-5m-14286","https://www.somogyi.sk/product/audio-kabel-3-5-mm-stereo-kovova-vidlica-3-5-mm-stereo-kovova-vidlica-2-5-m-a-54-2-5m-14286")</f>
        <v>0.0</v>
      </c>
      <c r="E987" s="7" t="n">
        <f>HYPERLINK("https://www.somogyi.sk/productimages/product_main_images/small/14286.jpg","https://www.somogyi.sk/productimages/product_main_images/small/14286.jpg")</f>
        <v>0.0</v>
      </c>
      <c r="F987" s="2" t="inlineStr">
        <is>
          <t>5999084923341</t>
        </is>
      </c>
      <c r="G987" s="4" t="inlineStr">
        <is>
          <t xml:space="preserve"> • prípojky: Ø3,5 mm vidlica / Ø3,5 mm zásuvka 
 • dĺžka kábla: 2,5 m 
 • pozlátený: áno 
 • kovový kryt prípojky: áno 
 • ďalšie informácie: bezkyslíkatá meď 
 • farba: oceľová modrá</t>
        </is>
      </c>
    </row>
    <row r="988">
      <c r="A988" s="3" t="inlineStr">
        <is>
          <t>A 54-5</t>
        </is>
      </c>
      <c r="B988" s="2" t="inlineStr">
        <is>
          <t>Audio kábel, 3,5 mm stereo vidlica-3,5 mm stereo zásuvka, 5 m</t>
        </is>
      </c>
      <c r="C988" s="1" t="n">
        <v>3.49</v>
      </c>
      <c r="D988" s="7" t="n">
        <f>HYPERLINK("https://www.somogyi.sk/product/audio-kabel-3-5-mm-stereo-vidlica-3-5-mm-stereo-zasuvka-5-m-a-54-5-1965","https://www.somogyi.sk/product/audio-kabel-3-5-mm-stereo-vidlica-3-5-mm-stereo-zasuvka-5-m-a-54-5-1965")</f>
        <v>0.0</v>
      </c>
      <c r="E988" s="7" t="n">
        <f>HYPERLINK("https://www.somogyi.sk/productimages/product_main_images/small/01965.jpg","https://www.somogyi.sk/productimages/product_main_images/small/01965.jpg")</f>
        <v>0.0</v>
      </c>
      <c r="F988" s="2" t="inlineStr">
        <is>
          <t>5998312706886</t>
        </is>
      </c>
      <c r="G988" s="4" t="inlineStr">
        <is>
          <t xml:space="preserve"> • prípojky: Ø3,5 mm vidlica / Ø3,5 mm zásuvka 
 • dĺžka kábla: 5 m 
 • pozlátený: nie 
 • kovový kryt prípojky: nie 
 • ďalšie informácie: stereo 
 • farba: čierna</t>
        </is>
      </c>
    </row>
    <row r="989">
      <c r="A989" s="3" t="inlineStr">
        <is>
          <t>A 51-1M</t>
        </is>
      </c>
      <c r="B989" s="2" t="inlineStr">
        <is>
          <t>Audio kábel, 3,5 mm stereo kovová vidlica-3,5 mm stereo kovová vidlica, 1 m</t>
        </is>
      </c>
      <c r="C989" s="1" t="n">
        <v>3.49</v>
      </c>
      <c r="D989" s="7" t="n">
        <f>HYPERLINK("https://www.somogyi.sk/product/audio-kabel-3-5-mm-stereo-kovova-vidlica-3-5-mm-stereo-kovova-vidlica-1-m-a-51-1m-14285","https://www.somogyi.sk/product/audio-kabel-3-5-mm-stereo-kovova-vidlica-3-5-mm-stereo-kovova-vidlica-1-m-a-51-1m-14285")</f>
        <v>0.0</v>
      </c>
      <c r="E989" s="7" t="n">
        <f>HYPERLINK("https://www.somogyi.sk/productimages/product_main_images/small/14285.jpg","https://www.somogyi.sk/productimages/product_main_images/small/14285.jpg")</f>
        <v>0.0</v>
      </c>
      <c r="F989" s="2" t="inlineStr">
        <is>
          <t>5999084923334</t>
        </is>
      </c>
      <c r="G989" s="4" t="inlineStr">
        <is>
          <t xml:space="preserve"> • prípojky: Ø3,5 mm lomená vidlica / Ø3,5 mm vidlica 
 • dĺžka kábla: 1 m 
 • pozlátený: áno 
 • kovový kryt prípojky: áno 
 • ďalšie informácie: bezkyslíkatá meď 
 • farba: oceľová modrá</t>
        </is>
      </c>
    </row>
    <row r="990">
      <c r="A990" s="3" t="inlineStr">
        <is>
          <t>A 49</t>
        </is>
      </c>
      <c r="B990" s="2" t="inlineStr">
        <is>
          <t>Audio kábel, 3,5 mm stereo vidlica-2 RCA zásuvka, 1,5 m</t>
        </is>
      </c>
      <c r="C990" s="1" t="n">
        <v>1.39</v>
      </c>
      <c r="D990" s="7" t="n">
        <f>HYPERLINK("https://www.somogyi.sk/product/audio-kabel-3-5-mm-stereo-vidlica-2-rca-zasuvka-1-5-m-a-49-1681","https://www.somogyi.sk/product/audio-kabel-3-5-mm-stereo-vidlica-2-rca-zasuvka-1-5-m-a-49-1681")</f>
        <v>0.0</v>
      </c>
      <c r="E990" s="7" t="n">
        <f>HYPERLINK("https://www.somogyi.sk/productimages/product_main_images/small/01681.jpg","https://www.somogyi.sk/productimages/product_main_images/small/01681.jpg")</f>
        <v>0.0</v>
      </c>
      <c r="F990" s="2" t="inlineStr">
        <is>
          <t>5998312700396</t>
        </is>
      </c>
      <c r="G990" s="4" t="inlineStr">
        <is>
          <t xml:space="preserve"> • prípojky: Ø3,5 mm vidlica / 2 x RCA vidlica 
 • dĺžka kábla: 1,5 m 
 • pozlátený: nie 
 • kovový kryt prípojky: nie 
 • ďalšie informácie: stereo 
 • farba: čierna</t>
        </is>
      </c>
    </row>
    <row r="991">
      <c r="A991" s="3" t="inlineStr">
        <is>
          <t>A 51</t>
        </is>
      </c>
      <c r="B991" s="2" t="inlineStr">
        <is>
          <t>Audio kábel, 3,5mm stereo vidlica-3,5mm stereo vidlica, 1,5m</t>
        </is>
      </c>
      <c r="C991" s="1" t="n">
        <v>1.79</v>
      </c>
      <c r="D991" s="7" t="n">
        <f>HYPERLINK("https://www.somogyi.sk/product/audio-kabel-3-5mm-stereo-vidlica-3-5mm-stereo-vidlica-1-5m-a-51-1682","https://www.somogyi.sk/product/audio-kabel-3-5mm-stereo-vidlica-3-5mm-stereo-vidlica-1-5m-a-51-1682")</f>
        <v>0.0</v>
      </c>
      <c r="E991" s="7" t="n">
        <f>HYPERLINK("https://www.somogyi.sk/productimages/product_main_images/small/01682.jpg","https://www.somogyi.sk/productimages/product_main_images/small/01682.jpg")</f>
        <v>0.0</v>
      </c>
      <c r="F991" s="2" t="inlineStr">
        <is>
          <t>5998312700402</t>
        </is>
      </c>
      <c r="G991" s="4" t="inlineStr">
        <is>
          <t xml:space="preserve"> • prípojky: Ø3,5 mm vidlica/ Ø3,5 mm vidlica 
 • dĺžka kábla: 1,5 m 
 • pozlátený: nie 
 • kovový kryt prípojky: nie 
 • ďalšie informácie: stereo 
 • farba: čierna</t>
        </is>
      </c>
    </row>
    <row r="992">
      <c r="A992" s="3" t="inlineStr">
        <is>
          <t>RF 5X</t>
        </is>
      </c>
      <c r="B992" s="2" t="inlineStr">
        <is>
          <t>Koaxiálny kábel, vidlica-zásuvka, 5m, blister</t>
        </is>
      </c>
      <c r="C992" s="1" t="n">
        <v>2.49</v>
      </c>
      <c r="D992" s="7" t="n">
        <f>HYPERLINK("https://www.somogyi.sk/product/koaxialny-kabel-vidlica-zasuvka-5m-blister-rf-5x-2160","https://www.somogyi.sk/product/koaxialny-kabel-vidlica-zasuvka-5m-blister-rf-5x-2160")</f>
        <v>0.0</v>
      </c>
      <c r="E992" s="7" t="n">
        <f>HYPERLINK("https://www.somogyi.sk/productimages/product_main_images/small/02160.jpg","https://www.somogyi.sk/productimages/product_main_images/small/02160.jpg")</f>
        <v>0.0</v>
      </c>
      <c r="F992" s="2" t="inlineStr">
        <is>
          <t>5998312724248</t>
        </is>
      </c>
      <c r="G992" s="4" t="inlineStr">
        <is>
          <t xml:space="preserve"> • prípojky: koaxiálna vidlica / koaxiálna vidlica 
 • dĺžka kábla: 5 m 
 • pozlátený: nie 
 • kovový kryt prípojky: nie 
 • farba: biela 
 • blister: áno</t>
        </is>
      </c>
    </row>
    <row r="993">
      <c r="A993" s="3" t="inlineStr">
        <is>
          <t>A 51X</t>
        </is>
      </c>
      <c r="B993" s="2" t="inlineStr">
        <is>
          <t>Audio kábel, 3,5 mm stereo vidlica-3,5 mm stereo vidlica, 1,5 m, blister</t>
        </is>
      </c>
      <c r="C993" s="1" t="n">
        <v>2.29</v>
      </c>
      <c r="D993" s="7" t="n">
        <f>HYPERLINK("https://www.somogyi.sk/product/audio-kabel-3-5-mm-stereo-vidlica-3-5-mm-stereo-vidlica-1-5-m-blister-a-51x-2153","https://www.somogyi.sk/product/audio-kabel-3-5-mm-stereo-vidlica-3-5-mm-stereo-vidlica-1-5-m-blister-a-51x-2153")</f>
        <v>0.0</v>
      </c>
      <c r="E993" s="7" t="n">
        <f>HYPERLINK("https://www.somogyi.sk/productimages/product_main_images/small/02153.jpg","https://www.somogyi.sk/productimages/product_main_images/small/02153.jpg")</f>
        <v>0.0</v>
      </c>
      <c r="F993" s="2" t="inlineStr">
        <is>
          <t>5998312724163</t>
        </is>
      </c>
      <c r="G993" s="4" t="inlineStr">
        <is>
          <t xml:space="preserve"> • prípojky: Ø3,5 mm vidlica / Ø3,5 mm vidlica 
 • dĺžka kábla: 1,5 m 
 • pozlátený: nie 
 • kovový kryt prípojky: nie 
 • ďalšie informácie: stereo 
 • farba: čierna 
 • blister: áno</t>
        </is>
      </c>
    </row>
    <row r="994">
      <c r="A994" s="3" t="inlineStr">
        <is>
          <t>A 49-5</t>
        </is>
      </c>
      <c r="B994" s="2" t="inlineStr">
        <is>
          <t>Audio kábel, 3,5 mm stereo vidlica-2 RCA zásuvka, 5 m</t>
        </is>
      </c>
      <c r="C994" s="1" t="n">
        <v>2.59</v>
      </c>
      <c r="D994" s="7" t="n">
        <f>HYPERLINK("https://www.somogyi.sk/product/audio-kabel-3-5-mm-stereo-vidlica-2-rca-zasuvka-5-m-a-49-5-4805","https://www.somogyi.sk/product/audio-kabel-3-5-mm-stereo-vidlica-2-rca-zasuvka-5-m-a-49-5-4805")</f>
        <v>0.0</v>
      </c>
      <c r="E994" s="7" t="n">
        <f>HYPERLINK("https://www.somogyi.sk/productimages/product_main_images/small/04805.jpg","https://www.somogyi.sk/productimages/product_main_images/small/04805.jpg")</f>
        <v>0.0</v>
      </c>
      <c r="F994" s="2" t="inlineStr">
        <is>
          <t>5998312742471</t>
        </is>
      </c>
      <c r="G994" s="4" t="inlineStr">
        <is>
          <t xml:space="preserve"> • prípojky: Ø3,5 mm vidlica / 2 x RCA vidlica 
 • dĺžka kábla: 5 m 
 • pozlátený: nie 
 • kovový kryt prípojky: nie 
 • ďalšie informácie: stereo 
 • farba: čierna</t>
        </is>
      </c>
    </row>
    <row r="995">
      <c r="A995" s="3" t="inlineStr">
        <is>
          <t>A 51-5</t>
        </is>
      </c>
      <c r="B995" s="2" t="inlineStr">
        <is>
          <t>Audio kábel, 3,5 mm stereo vidlica-3,5 mm stereo vidlica, 5 m</t>
        </is>
      </c>
      <c r="C995" s="1" t="n">
        <v>3.69</v>
      </c>
      <c r="D995" s="7" t="n">
        <f>HYPERLINK("https://www.somogyi.sk/product/audio-kabel-3-5-mm-stereo-vidlica-3-5-mm-stereo-vidlica-5-m-a-51-5-5014","https://www.somogyi.sk/product/audio-kabel-3-5-mm-stereo-vidlica-3-5-mm-stereo-vidlica-5-m-a-51-5-5014")</f>
        <v>0.0</v>
      </c>
      <c r="E995" s="7" t="n">
        <f>HYPERLINK("https://www.somogyi.sk/productimages/product_main_images/small/05014.jpg","https://www.somogyi.sk/productimages/product_main_images/small/05014.jpg")</f>
        <v>0.0</v>
      </c>
      <c r="F995" s="2" t="inlineStr">
        <is>
          <t>5998312744369</t>
        </is>
      </c>
      <c r="G995" s="4" t="inlineStr">
        <is>
          <t xml:space="preserve"> • prípojky: Ø3,5 mm vidlica / Ø3,5 mm vidlica 
 • dĺžka kábla: 5 m 
 • pozlátený: nie 
 • kovový kryt prípojky: nie 
 • ďalšie informácie: stereo 
 • farba: čierna</t>
        </is>
      </c>
    </row>
    <row r="996">
      <c r="A996" s="3" t="inlineStr">
        <is>
          <t>A 49-4M</t>
        </is>
      </c>
      <c r="B996" s="2" t="inlineStr">
        <is>
          <t>3,5 stereo - 2 x RCA, 4 m, kovový</t>
        </is>
      </c>
      <c r="C996" s="1" t="n">
        <v>7.29</v>
      </c>
      <c r="D996" s="7" t="n">
        <f>HYPERLINK("https://www.somogyi.sk/product/3-5-stereo-2-x-rca-4-m-kovovy-a-49-4m-16109","https://www.somogyi.sk/product/3-5-stereo-2-x-rca-4-m-kovovy-a-49-4m-16109")</f>
        <v>0.0</v>
      </c>
      <c r="E996" s="7" t="n">
        <f>HYPERLINK("https://www.somogyi.sk/productimages/product_main_images/small/16109.jpg","https://www.somogyi.sk/productimages/product_main_images/small/16109.jpg")</f>
        <v>0.0</v>
      </c>
      <c r="F996" s="2" t="inlineStr">
        <is>
          <t>5999084941413</t>
        </is>
      </c>
      <c r="G996" s="4" t="inlineStr">
        <is>
          <t xml:space="preserve"> • prípojky: Ø3,5 mm vidlica / 2 x RCA vidlica 
 • dĺžka kábla: 4 m 
 • pozlátený: áno 
 • kovový kryt prípojky: áno 
 • farba: modrá</t>
        </is>
      </c>
    </row>
    <row r="997">
      <c r="A997" s="3" t="inlineStr">
        <is>
          <t>A 49X</t>
        </is>
      </c>
      <c r="B997" s="2" t="inlineStr">
        <is>
          <t>Audio kábel, 3,5 mm stereo vidlica-2 RCA zásuvka, 1,5 m, blister</t>
        </is>
      </c>
      <c r="C997" s="1" t="n">
        <v>1.79</v>
      </c>
      <c r="D997" s="7" t="n">
        <f>HYPERLINK("https://www.somogyi.sk/product/audio-kabel-3-5-mm-stereo-vidlica-2-rca-zasuvka-1-5-m-blister-a-49x-2156","https://www.somogyi.sk/product/audio-kabel-3-5-mm-stereo-vidlica-2-rca-zasuvka-1-5-m-blister-a-49x-2156")</f>
        <v>0.0</v>
      </c>
      <c r="E997" s="7" t="n">
        <f>HYPERLINK("https://www.somogyi.sk/productimages/product_main_images/small/02156.jpg","https://www.somogyi.sk/productimages/product_main_images/small/02156.jpg")</f>
        <v>0.0</v>
      </c>
      <c r="F997" s="2" t="inlineStr">
        <is>
          <t>5998312724194</t>
        </is>
      </c>
      <c r="G997" s="4" t="inlineStr">
        <is>
          <t xml:space="preserve"> • prípojky: Ø3,5 mm vidlica / 2 x RCA vidlica 
 • dĺžka kábla: 1,5 m 
 • pozlátený: nie 
 • kovový kryt prípojky: nie 
 • ďalšie informácie: stereo 
 • farba: čierna 
 • blister: áno</t>
        </is>
      </c>
    </row>
    <row r="998">
      <c r="A998" s="3" t="inlineStr">
        <is>
          <t>RF 3X</t>
        </is>
      </c>
      <c r="B998" s="2" t="inlineStr">
        <is>
          <t>Koaxiálny kábel, vidlica-zásuvka, 3m, blister</t>
        </is>
      </c>
      <c r="C998" s="1" t="n">
        <v>1.69</v>
      </c>
      <c r="D998" s="7" t="n">
        <f>HYPERLINK("https://www.somogyi.sk/product/koaxialny-kabel-vidlica-zasuvka-3m-blister-rf-3x-2159","https://www.somogyi.sk/product/koaxialny-kabel-vidlica-zasuvka-3m-blister-rf-3x-2159")</f>
        <v>0.0</v>
      </c>
      <c r="E998" s="7" t="n">
        <f>HYPERLINK("https://www.somogyi.sk/productimages/product_main_images/small/02159.jpg","https://www.somogyi.sk/productimages/product_main_images/small/02159.jpg")</f>
        <v>0.0</v>
      </c>
      <c r="F998" s="2" t="inlineStr">
        <is>
          <t>5998312724231</t>
        </is>
      </c>
      <c r="G998" s="4" t="inlineStr">
        <is>
          <t xml:space="preserve"> • prípojky: koaxiálna vidlica / koaxiálna vidlica 
 • dĺžka kábla: 2,5 m 
 • pozlátený: nie 
 • kovový kryt prípojky: nie 
 • farba: biela 
 • blister: áno</t>
        </is>
      </c>
    </row>
    <row r="999">
      <c r="A999" s="3" t="inlineStr">
        <is>
          <t>RF 1</t>
        </is>
      </c>
      <c r="B999" s="2" t="inlineStr">
        <is>
          <t>Koaxiálny kábel, vidlica-zásuvka</t>
        </is>
      </c>
      <c r="C999" s="1" t="n">
        <v>1.09</v>
      </c>
      <c r="D999" s="7" t="n">
        <f>HYPERLINK("https://www.somogyi.sk/product/koaxialny-kabel-vidlica-zasuvka-rf-1-1816","https://www.somogyi.sk/product/koaxialny-kabel-vidlica-zasuvka-rf-1-1816")</f>
        <v>0.0</v>
      </c>
      <c r="E999" s="7" t="n">
        <f>HYPERLINK("https://www.somogyi.sk/productimages/product_main_images/small/01816.jpg","https://www.somogyi.sk/productimages/product_main_images/small/01816.jpg")</f>
        <v>0.0</v>
      </c>
      <c r="F999" s="2" t="inlineStr">
        <is>
          <t>5998312703373</t>
        </is>
      </c>
      <c r="G999" s="4" t="inlineStr">
        <is>
          <t xml:space="preserve"> • prípojky: koaxiálna vidlica / koaxiálna vidlica 
 • dĺžka kábla: 1,5 m 
 • pozlátený: nie 
 • kovový kryt prípojky: nie 
 • farba: biela</t>
        </is>
      </c>
    </row>
    <row r="1000">
      <c r="A1000" s="3" t="inlineStr">
        <is>
          <t>RF 3</t>
        </is>
      </c>
      <c r="B1000" s="2" t="inlineStr">
        <is>
          <t>Koaxiálny kábel, vidlica-zásuvka, 3m</t>
        </is>
      </c>
      <c r="C1000" s="1" t="n">
        <v>1.39</v>
      </c>
      <c r="D1000" s="7" t="n">
        <f>HYPERLINK("https://www.somogyi.sk/product/koaxialny-kabel-vidlica-zasuvka-3m-rf-3-1818","https://www.somogyi.sk/product/koaxialny-kabel-vidlica-zasuvka-3m-rf-3-1818")</f>
        <v>0.0</v>
      </c>
      <c r="E1000" s="7" t="n">
        <f>HYPERLINK("https://www.somogyi.sk/productimages/product_main_images/small/01818.jpg","https://www.somogyi.sk/productimages/product_main_images/small/01818.jpg")</f>
        <v>0.0</v>
      </c>
      <c r="F1000" s="2" t="inlineStr">
        <is>
          <t>5998312703397</t>
        </is>
      </c>
      <c r="G1000" s="4" t="inlineStr">
        <is>
          <t xml:space="preserve"> • prípojky: koaxiálna vidlica / koaxiálna vidlica 
 • dĺžka kábla: 2,5 m 
 • pozlátený: nie 
 • kovový kryt prípojky: nie 
 • farba: biela</t>
        </is>
      </c>
    </row>
    <row r="1001">
      <c r="A1001" s="6" t="inlineStr">
        <is>
          <t xml:space="preserve">   Audio-video doplnky / Audio redukcia</t>
        </is>
      </c>
      <c r="B1001" s="6" t="inlineStr">
        <is>
          <t/>
        </is>
      </c>
      <c r="C1001" s="6" t="inlineStr">
        <is>
          <t/>
        </is>
      </c>
      <c r="D1001" s="6" t="inlineStr">
        <is>
          <t/>
        </is>
      </c>
      <c r="E1001" s="6" t="inlineStr">
        <is>
          <t/>
        </is>
      </c>
      <c r="F1001" s="6" t="inlineStr">
        <is>
          <t/>
        </is>
      </c>
      <c r="G1001" s="6" t="inlineStr">
        <is>
          <t/>
        </is>
      </c>
    </row>
    <row r="1002">
      <c r="A1002" s="3" t="inlineStr">
        <is>
          <t>AC 4X</t>
        </is>
      </c>
      <c r="B1002" s="2" t="inlineStr">
        <is>
          <t>Audio redukcia, 6,3 mm mono vidlica-RCA zásuvka, blister</t>
        </is>
      </c>
      <c r="C1002" s="1" t="n">
        <v>0.95</v>
      </c>
      <c r="D1002" s="7" t="n">
        <f>HYPERLINK("https://www.somogyi.sk/product/audio-redukcia-6-3-mm-mono-vidlica-rca-zasuvka-blister-ac-4x-2257","https://www.somogyi.sk/product/audio-redukcia-6-3-mm-mono-vidlica-rca-zasuvka-blister-ac-4x-2257")</f>
        <v>0.0</v>
      </c>
      <c r="E1002" s="7" t="n">
        <f>HYPERLINK("https://www.somogyi.sk/productimages/product_main_images/small/02257.jpg","https://www.somogyi.sk/productimages/product_main_images/small/02257.jpg")</f>
        <v>0.0</v>
      </c>
      <c r="F1002" s="2" t="inlineStr">
        <is>
          <t>5998312725238</t>
        </is>
      </c>
      <c r="G1002" s="4" t="inlineStr">
        <is>
          <t xml:space="preserve"> • prípojky: Ø6,3 mm vidlica / RCA zásuvka 
 • ďalšie informácie: mono 
 • blister: áno</t>
        </is>
      </c>
    </row>
    <row r="1003">
      <c r="A1003" s="3" t="inlineStr">
        <is>
          <t>AC 19X</t>
        </is>
      </c>
      <c r="B1003" s="2" t="inlineStr">
        <is>
          <t>RCA spojka, zásuvka-zásuvka, blister</t>
        </is>
      </c>
      <c r="C1003" s="1" t="n">
        <v>0.59</v>
      </c>
      <c r="D1003" s="7" t="n">
        <f>HYPERLINK("https://www.somogyi.sk/product/rca-spojka-zasuvka-zasuvka-blister-ac-19x-2213","https://www.somogyi.sk/product/rca-spojka-zasuvka-zasuvka-blister-ac-19x-2213")</f>
        <v>0.0</v>
      </c>
      <c r="E1003" s="7" t="n">
        <f>HYPERLINK("https://www.somogyi.sk/productimages/product_main_images/small/02213.jpg","https://www.somogyi.sk/productimages/product_main_images/small/02213.jpg")</f>
        <v>0.0</v>
      </c>
      <c r="F1003" s="2" t="inlineStr">
        <is>
          <t>5998312724781</t>
        </is>
      </c>
      <c r="G1003" s="4" t="inlineStr">
        <is>
          <t xml:space="preserve"> • prípojky: RCA zásuvka / RCA zásuvka 
 • ďalšie informácie: mono 
 • blister: áno</t>
        </is>
      </c>
    </row>
    <row r="1004">
      <c r="A1004" s="3" t="inlineStr">
        <is>
          <t>AC 16X</t>
        </is>
      </c>
      <c r="B1004" s="2" t="inlineStr">
        <is>
          <t>Audio redukcia, 3,5 mm stereo vidlica-2 x 3,5 mm stereo zásuvka, blister</t>
        </is>
      </c>
      <c r="C1004" s="1" t="n">
        <v>0.89</v>
      </c>
      <c r="D1004" s="7" t="n">
        <f>HYPERLINK("https://www.somogyi.sk/product/audio-redukcia-3-5-mm-stereo-vidlica-2-x-3-5-mm-stereo-zasuvka-blister-ac-16x-2254","https://www.somogyi.sk/product/audio-redukcia-3-5-mm-stereo-vidlica-2-x-3-5-mm-stereo-zasuvka-blister-ac-16x-2254")</f>
        <v>0.0</v>
      </c>
      <c r="E1004" s="7" t="n">
        <f>HYPERLINK("https://www.somogyi.sk/productimages/product_main_images/small/02254.jpg","https://www.somogyi.sk/productimages/product_main_images/small/02254.jpg")</f>
        <v>0.0</v>
      </c>
      <c r="F1004" s="2" t="inlineStr">
        <is>
          <t>5998312725207</t>
        </is>
      </c>
      <c r="G1004" s="4" t="inlineStr">
        <is>
          <t xml:space="preserve"> • prípojky: Ø3,5 mm vidlica / 2 x Ø3,5 mm zásuvka 
 • ďalšie informácie: stereo 
 • blister: áno</t>
        </is>
      </c>
    </row>
    <row r="1005">
      <c r="A1005" s="3" t="inlineStr">
        <is>
          <t>AC 6X</t>
        </is>
      </c>
      <c r="B1005" s="2" t="inlineStr">
        <is>
          <t>Audio redukcia, 3,5 mm stereo vidlica-2 x 6,3 mm stereo zásuvka, blister</t>
        </is>
      </c>
      <c r="C1005" s="1" t="n">
        <v>0.95</v>
      </c>
      <c r="D1005" s="7" t="n">
        <f>HYPERLINK("https://www.somogyi.sk/product/audio-redukcia-3-5-mm-stereo-vidlica-2-x-6-3-mm-stereo-zasuvka-blister-ac-6x-2255","https://www.somogyi.sk/product/audio-redukcia-3-5-mm-stereo-vidlica-2-x-6-3-mm-stereo-zasuvka-blister-ac-6x-2255")</f>
        <v>0.0</v>
      </c>
      <c r="E1005" s="7" t="n">
        <f>HYPERLINK("https://www.somogyi.sk/productimages/product_main_images/small/02255.jpg","https://www.somogyi.sk/productimages/product_main_images/small/02255.jpg")</f>
        <v>0.0</v>
      </c>
      <c r="F1005" s="2" t="inlineStr">
        <is>
          <t>5998312725214</t>
        </is>
      </c>
      <c r="G1005" s="4" t="inlineStr">
        <is>
          <t xml:space="preserve"> • prípojky: Ø3,5 mm vidlica / Ø6,3 mm zásuvka 
 • ďalšie informácie: stereo 
 • blister: áno</t>
        </is>
      </c>
    </row>
    <row r="1006">
      <c r="A1006" s="3" t="inlineStr">
        <is>
          <t>AC 17X</t>
        </is>
      </c>
      <c r="B1006" s="2" t="inlineStr">
        <is>
          <t>Audio redukcia, 3,5 mm stereo vidlica-2xRCA zásuvka, blister</t>
        </is>
      </c>
      <c r="C1006" s="1" t="n">
        <v>0.89</v>
      </c>
      <c r="D1006" s="7" t="n">
        <f>HYPERLINK("https://www.somogyi.sk/product/audio-redukcia-3-5-mm-stereo-vidlica-2xrca-zasuvka-blister-ac-17x-2256","https://www.somogyi.sk/product/audio-redukcia-3-5-mm-stereo-vidlica-2xrca-zasuvka-blister-ac-17x-2256")</f>
        <v>0.0</v>
      </c>
      <c r="E1006" s="7" t="n">
        <f>HYPERLINK("https://www.somogyi.sk/productimages/product_main_images/small/02256.jpg","https://www.somogyi.sk/productimages/product_main_images/small/02256.jpg")</f>
        <v>0.0</v>
      </c>
      <c r="F1006" s="2" t="inlineStr">
        <is>
          <t>5998312725221</t>
        </is>
      </c>
      <c r="G1006" s="4" t="inlineStr">
        <is>
          <t xml:space="preserve"> • prípojky: Ø3,5 mm vidlica / 2 x RCA zásuvka 
 • ďalšie informácie: stereo 
 • blister: áno</t>
        </is>
      </c>
    </row>
    <row r="1007">
      <c r="A1007" s="3" t="inlineStr">
        <is>
          <t>AC 9X</t>
        </is>
      </c>
      <c r="B1007" s="2" t="inlineStr">
        <is>
          <t>Audio redukcia, 6,3 mm stereo vidlica- 3,5 mm stereo zásuvka, blister</t>
        </is>
      </c>
      <c r="C1007" s="1" t="n">
        <v>1.05</v>
      </c>
      <c r="D1007" s="7" t="n">
        <f>HYPERLINK("https://www.somogyi.sk/product/audio-redukcia-6-3-mm-stereo-vidlica-3-5-mm-stereo-zasuvka-blister-ac-9x-2258","https://www.somogyi.sk/product/audio-redukcia-6-3-mm-stereo-vidlica-3-5-mm-stereo-zasuvka-blister-ac-9x-2258")</f>
        <v>0.0</v>
      </c>
      <c r="E1007" s="7" t="n">
        <f>HYPERLINK("https://www.somogyi.sk/productimages/product_main_images/small/02258.jpg","https://www.somogyi.sk/productimages/product_main_images/small/02258.jpg")</f>
        <v>0.0</v>
      </c>
      <c r="F1007" s="2" t="inlineStr">
        <is>
          <t>5998312725245</t>
        </is>
      </c>
      <c r="G1007" s="4" t="inlineStr">
        <is>
          <t xml:space="preserve"> • prípojky: Ø6,3 mm vidlica / Ø3,5 mm zásuvka 
 • ďalšie informácie: stereo 
 • blister: áno</t>
        </is>
      </c>
    </row>
    <row r="1008">
      <c r="A1008" s="3" t="inlineStr">
        <is>
          <t>AC 16</t>
        </is>
      </c>
      <c r="B1008" s="2" t="inlineStr">
        <is>
          <t>Audio redukcia, 3,5 mm stereo vidlica-2 x 3,5 mm stereo zásuvka</t>
        </is>
      </c>
      <c r="C1008" s="1" t="n">
        <v>0.55</v>
      </c>
      <c r="D1008" s="7" t="n">
        <f>HYPERLINK("https://www.somogyi.sk/product/audio-redukcia-3-5-mm-stereo-vidlica-2-x-3-5-mm-stereo-zasuvka-ac-16-1698","https://www.somogyi.sk/product/audio-redukcia-3-5-mm-stereo-vidlica-2-x-3-5-mm-stereo-zasuvka-ac-16-1698")</f>
        <v>0.0</v>
      </c>
      <c r="E1008" s="7" t="n">
        <f>HYPERLINK("https://www.somogyi.sk/productimages/product_main_images/small/01698.jpg","https://www.somogyi.sk/productimages/product_main_images/small/01698.jpg")</f>
        <v>0.0</v>
      </c>
      <c r="F1008" s="2" t="inlineStr">
        <is>
          <t>5998312700631</t>
        </is>
      </c>
      <c r="G1008" s="4" t="inlineStr">
        <is>
          <t xml:space="preserve"> • prípojky: Ø3,5 mm vidlica / 2 x Ø3,5 mm zásuvka 
 • ďalšie informácie: stereo</t>
        </is>
      </c>
    </row>
    <row r="1009">
      <c r="A1009" s="3" t="inlineStr">
        <is>
          <t>AC 17</t>
        </is>
      </c>
      <c r="B1009" s="2" t="inlineStr">
        <is>
          <t>Audio redukcia, 3,5mm stereo vidlica-2xRCA zásuvka</t>
        </is>
      </c>
      <c r="C1009" s="1" t="n">
        <v>0.59</v>
      </c>
      <c r="D1009" s="7" t="n">
        <f>HYPERLINK("https://www.somogyi.sk/product/audio-redukcia-3-5mm-stereo-vidlica-2xrca-zasuvka-ac-17-1699","https://www.somogyi.sk/product/audio-redukcia-3-5mm-stereo-vidlica-2xrca-zasuvka-ac-17-1699")</f>
        <v>0.0</v>
      </c>
      <c r="E1009" s="7" t="n">
        <f>HYPERLINK("https://www.somogyi.sk/productimages/product_main_images/small/01699.jpg","https://www.somogyi.sk/productimages/product_main_images/small/01699.jpg")</f>
        <v>0.0</v>
      </c>
      <c r="F1009" s="2" t="inlineStr">
        <is>
          <t>5998312700648</t>
        </is>
      </c>
      <c r="G1009" s="4" t="inlineStr">
        <is>
          <t xml:space="preserve"> • prípojky: Ø3,5 mm vidlica / 2 x RCA zásuvka 
 • ďalšie informácie: stereo</t>
        </is>
      </c>
    </row>
    <row r="1010">
      <c r="A1010" s="3" t="inlineStr">
        <is>
          <t>AC 19</t>
        </is>
      </c>
      <c r="B1010" s="2" t="inlineStr">
        <is>
          <t>RCA spojka, zásuvka-zásuvka</t>
        </is>
      </c>
      <c r="C1010" s="1" t="n">
        <v>0.32</v>
      </c>
      <c r="D1010" s="7" t="n">
        <f>HYPERLINK("https://www.somogyi.sk/product/rca-spojka-zasuvka-zasuvka-ac-19-1701","https://www.somogyi.sk/product/rca-spojka-zasuvka-zasuvka-ac-19-1701")</f>
        <v>0.0</v>
      </c>
      <c r="E1010" s="7" t="n">
        <f>HYPERLINK("https://www.somogyi.sk/productimages/product_main_images/small/01701.jpg","https://www.somogyi.sk/productimages/product_main_images/small/01701.jpg")</f>
        <v>0.0</v>
      </c>
      <c r="F1010" s="2" t="inlineStr">
        <is>
          <t>5998312700662</t>
        </is>
      </c>
      <c r="G1010" s="4" t="inlineStr">
        <is>
          <t xml:space="preserve"> • prípojky: RCA zásuvka / RCA zásuvka 
 • ďalšie informácie: mono</t>
        </is>
      </c>
    </row>
    <row r="1011">
      <c r="A1011" s="3" t="inlineStr">
        <is>
          <t>AC 4</t>
        </is>
      </c>
      <c r="B1011" s="2" t="inlineStr">
        <is>
          <t>Audio redukcia, 6,3 mm mono vidlica-RCA zásuvka</t>
        </is>
      </c>
      <c r="C1011" s="1" t="n">
        <v>0.65</v>
      </c>
      <c r="D1011" s="7" t="n">
        <f>HYPERLINK("https://www.somogyi.sk/product/audio-redukcia-6-3-mm-mono-vidlica-rca-zasuvka-ac-4-1708","https://www.somogyi.sk/product/audio-redukcia-6-3-mm-mono-vidlica-rca-zasuvka-ac-4-1708")</f>
        <v>0.0</v>
      </c>
      <c r="E1011" s="7" t="n">
        <f>HYPERLINK("https://www.somogyi.sk/productimages/product_main_images/small/01708.jpg","https://www.somogyi.sk/productimages/product_main_images/small/01708.jpg")</f>
        <v>0.0</v>
      </c>
      <c r="F1011" s="2" t="inlineStr">
        <is>
          <t>5998312700778</t>
        </is>
      </c>
      <c r="G1011" s="4" t="inlineStr">
        <is>
          <t xml:space="preserve"> • prípojky: Ø6,3 mm vidlica / RCA zásuvka 
 • ďalšie informácie: mono</t>
        </is>
      </c>
    </row>
    <row r="1012">
      <c r="A1012" s="3" t="inlineStr">
        <is>
          <t>AC 6</t>
        </is>
      </c>
      <c r="B1012" s="2" t="inlineStr">
        <is>
          <t>Audio redukcia, 3,5 mm stereo vidlica-2 x 6,3 mm stereo zásuvka</t>
        </is>
      </c>
      <c r="C1012" s="1" t="n">
        <v>0.65</v>
      </c>
      <c r="D1012" s="7" t="n">
        <f>HYPERLINK("https://www.somogyi.sk/product/audio-redukcia-3-5-mm-stereo-vidlica-2-x-6-3-mm-stereo-zasuvka-ac-6-1709","https://www.somogyi.sk/product/audio-redukcia-3-5-mm-stereo-vidlica-2-x-6-3-mm-stereo-zasuvka-ac-6-1709")</f>
        <v>0.0</v>
      </c>
      <c r="E1012" s="7" t="n">
        <f>HYPERLINK("https://www.somogyi.sk/productimages/product_main_images/small/01709.jpg","https://www.somogyi.sk/productimages/product_main_images/small/01709.jpg")</f>
        <v>0.0</v>
      </c>
      <c r="F1012" s="2" t="inlineStr">
        <is>
          <t>5998312700792</t>
        </is>
      </c>
      <c r="G1012" s="4" t="inlineStr">
        <is>
          <t xml:space="preserve"> • prípojky: Ø3,5 mm vidlica / Ø6,3 mm zásuvka 
 • ďalšie informácie: stereo</t>
        </is>
      </c>
    </row>
    <row r="1013">
      <c r="A1013" s="3" t="inlineStr">
        <is>
          <t>AC 9</t>
        </is>
      </c>
      <c r="B1013" s="2" t="inlineStr">
        <is>
          <t>Audio redukcia, 6,3 mm stereo vidlica- 3,5 mm stereo zásuvka</t>
        </is>
      </c>
      <c r="C1013" s="1" t="n">
        <v>0.69</v>
      </c>
      <c r="D1013" s="7" t="n">
        <f>HYPERLINK("https://www.somogyi.sk/product/audio-redukcia-6-3-mm-stereo-vidlica-3-5-mm-stereo-zasuvka-ac-9-1711","https://www.somogyi.sk/product/audio-redukcia-6-3-mm-stereo-vidlica-3-5-mm-stereo-zasuvka-ac-9-1711")</f>
        <v>0.0</v>
      </c>
      <c r="E1013" s="7" t="n">
        <f>HYPERLINK("https://www.somogyi.sk/productimages/product_main_images/small/01711.jpg","https://www.somogyi.sk/productimages/product_main_images/small/01711.jpg")</f>
        <v>0.0</v>
      </c>
      <c r="F1013" s="2" t="inlineStr">
        <is>
          <t>5998312700815</t>
        </is>
      </c>
      <c r="G1013" s="4" t="inlineStr">
        <is>
          <t xml:space="preserve"> • prípojky: Ø6,3 mm vidlica / Ø3,5 mm zásuvka 
 • ďalšie informácie: stereo</t>
        </is>
      </c>
    </row>
    <row r="1014">
      <c r="A1014" s="6" t="inlineStr">
        <is>
          <t xml:space="preserve">   Audio-video doplnky / Audio a video prípojka</t>
        </is>
      </c>
      <c r="B1014" s="6" t="inlineStr">
        <is>
          <t/>
        </is>
      </c>
      <c r="C1014" s="6" t="inlineStr">
        <is>
          <t/>
        </is>
      </c>
      <c r="D1014" s="6" t="inlineStr">
        <is>
          <t/>
        </is>
      </c>
      <c r="E1014" s="6" t="inlineStr">
        <is>
          <t/>
        </is>
      </c>
      <c r="F1014" s="6" t="inlineStr">
        <is>
          <t/>
        </is>
      </c>
      <c r="G1014" s="6" t="inlineStr">
        <is>
          <t/>
        </is>
      </c>
    </row>
    <row r="1015">
      <c r="A1015" s="3" t="inlineStr">
        <is>
          <t>RCA 11MF</t>
        </is>
      </c>
      <c r="B1015" s="2" t="inlineStr">
        <is>
          <t>RCA vidlica, kovová, pozlátená</t>
        </is>
      </c>
      <c r="C1015" s="1" t="n">
        <v>1.79</v>
      </c>
      <c r="D1015" s="7" t="n">
        <f>HYPERLINK("https://www.somogyi.sk/product/rca-vidlica-kovova-pozlatena-rca-11mf-2355","https://www.somogyi.sk/product/rca-vidlica-kovova-pozlatena-rca-11mf-2355")</f>
        <v>0.0</v>
      </c>
      <c r="E1015" s="7" t="n">
        <f>HYPERLINK("https://www.somogyi.sk/productimages/product_main_images/small/02355.jpg","https://www.somogyi.sk/productimages/product_main_images/small/02355.jpg")</f>
        <v>0.0</v>
      </c>
      <c r="F1015" s="2" t="inlineStr">
        <is>
          <t>5998312726600</t>
        </is>
      </c>
      <c r="G1015" s="4" t="inlineStr">
        <is>
          <t xml:space="preserve"> • prípojka: RCA vidlica 
 • materiál krytu: kovová 
 • pozlátený: áno 
 • zapojenie: spájkovateľná 
 • farba: 1 ks  biela, 1 ks červená</t>
        </is>
      </c>
    </row>
    <row r="1016">
      <c r="A1016" s="3" t="inlineStr">
        <is>
          <t>SK 4K</t>
        </is>
      </c>
      <c r="B1016" s="2" t="inlineStr">
        <is>
          <t>Jack zásuvka, stereo, voľná, 3,5mm</t>
        </is>
      </c>
      <c r="C1016" s="1" t="n">
        <v>0.65</v>
      </c>
      <c r="D1016" s="7" t="n">
        <f>HYPERLINK("https://www.somogyi.sk/product/jack-zasuvka-stereo-volna-3-5mm-sk-4k-1868","https://www.somogyi.sk/product/jack-zasuvka-stereo-volna-3-5mm-sk-4k-1868")</f>
        <v>0.0</v>
      </c>
      <c r="E1016" s="7" t="n">
        <f>HYPERLINK("https://www.somogyi.sk/productimages/product_main_images/small/01868.jpg","https://www.somogyi.sk/productimages/product_main_images/small/01868.jpg")</f>
        <v>0.0</v>
      </c>
      <c r="F1016" s="2" t="inlineStr">
        <is>
          <t>5998312704141</t>
        </is>
      </c>
      <c r="G1016" s="4" t="inlineStr">
        <is>
          <t xml:space="preserve"> • prípojka: Ø3,5 mm zásuvka 
 • materiál krytu: plastová 
 • pozlátený: nie 
 • zapojenie: spájkovateľná 
 • stereo/mono: stereo</t>
        </is>
      </c>
    </row>
    <row r="1017">
      <c r="A1017" s="3" t="inlineStr">
        <is>
          <t>SK 4X</t>
        </is>
      </c>
      <c r="B1017" s="2" t="inlineStr">
        <is>
          <t>Jack vidlica, stereo, 3,5mm, blister</t>
        </is>
      </c>
      <c r="C1017" s="1" t="n">
        <v>1.19</v>
      </c>
      <c r="D1017" s="7" t="n">
        <f>HYPERLINK("https://www.somogyi.sk/product/jack-vidlica-stereo-3-5mm-blister-sk-4x-2227","https://www.somogyi.sk/product/jack-vidlica-stereo-3-5mm-blister-sk-4x-2227")</f>
        <v>0.0</v>
      </c>
      <c r="E1017" s="7" t="n">
        <f>HYPERLINK("https://www.somogyi.sk/productimages/product_main_images/small/02227.jpg","https://www.somogyi.sk/productimages/product_main_images/small/02227.jpg")</f>
        <v>0.0</v>
      </c>
      <c r="F1017" s="2" t="inlineStr">
        <is>
          <t>5998312724927</t>
        </is>
      </c>
      <c r="G1017" s="4" t="inlineStr">
        <is>
          <t xml:space="preserve"> • prípojka: Ø3,5 mm vidlica 
 • materiál krytu: plast 
 • pozlátený: nie 
 • zapojenie: spájkovateľná 
 • stereo/mono: stereo 
 • blister: áno</t>
        </is>
      </c>
    </row>
    <row r="1018">
      <c r="A1018" s="3" t="inlineStr">
        <is>
          <t>SK 2M</t>
        </is>
      </c>
      <c r="B1018" s="2" t="inlineStr">
        <is>
          <t>Jack vidlica, mono, kovová, 6,3mm</t>
        </is>
      </c>
      <c r="C1018" s="1" t="n">
        <v>0.95</v>
      </c>
      <c r="D1018" s="7" t="n">
        <f>HYPERLINK("https://www.somogyi.sk/product/jack-vidlica-mono-kovova-6-3mm-sk-2m-1861","https://www.somogyi.sk/product/jack-vidlica-mono-kovova-6-3mm-sk-2m-1861")</f>
        <v>0.0</v>
      </c>
      <c r="E1018" s="7" t="n">
        <f>HYPERLINK("https://www.somogyi.sk/productimages/product_main_images/small/01861.jpg","https://www.somogyi.sk/productimages/product_main_images/small/01861.jpg")</f>
        <v>0.0</v>
      </c>
      <c r="F1018" s="2" t="inlineStr">
        <is>
          <t>5998312704073</t>
        </is>
      </c>
      <c r="G1018" s="4" t="inlineStr">
        <is>
          <t xml:space="preserve"> • prípojka: Ø6,3 mm vidlica 
 • materiál krytu: kovová 
 • pozlátený: nie 
 • zapojenie: spájkovateľná 
 • stereo/mono: mono</t>
        </is>
      </c>
    </row>
    <row r="1019">
      <c r="A1019" s="3" t="inlineStr">
        <is>
          <t>SK 4KX</t>
        </is>
      </c>
      <c r="B1019" s="2" t="inlineStr">
        <is>
          <t>Jack zásuvka, stereo, voľná, 3,5mm, blister</t>
        </is>
      </c>
      <c r="C1019" s="1" t="n">
        <v>0.95</v>
      </c>
      <c r="D1019" s="7" t="n">
        <f>HYPERLINK("https://www.somogyi.sk/product/jack-zasuvka-stereo-volna-3-5mm-blister-sk-4kx-2320","https://www.somogyi.sk/product/jack-zasuvka-stereo-volna-3-5mm-blister-sk-4kx-2320")</f>
        <v>0.0</v>
      </c>
      <c r="E1019" s="7" t="n">
        <f>HYPERLINK("https://www.somogyi.sk/productimages/product_main_images/small/02320.jpg","https://www.somogyi.sk/productimages/product_main_images/small/02320.jpg")</f>
        <v>0.0</v>
      </c>
      <c r="F1019" s="2" t="inlineStr">
        <is>
          <t>5998312725870</t>
        </is>
      </c>
      <c r="G1019" s="4" t="inlineStr">
        <is>
          <t xml:space="preserve"> • prípojka: Ø3,5 mm zásuvka 
 • materiál krytu: plast 
 • pozlátený: nie 
 • zapojenie: spájkovateľná 
 • stereo/mono: stereo 
 • blister: áno</t>
        </is>
      </c>
    </row>
    <row r="1020">
      <c r="A1020" s="3" t="inlineStr">
        <is>
          <t>SK 4</t>
        </is>
      </c>
      <c r="B1020" s="2" t="inlineStr">
        <is>
          <t>Jack vidlica, stereo, 3,5mm</t>
        </is>
      </c>
      <c r="C1020" s="1" t="n">
        <v>0.45</v>
      </c>
      <c r="D1020" s="7" t="n">
        <f>HYPERLINK("https://www.somogyi.sk/product/jack-vidlica-stereo-3-5mm-sk-4-1866","https://www.somogyi.sk/product/jack-vidlica-stereo-3-5mm-sk-4-1866")</f>
        <v>0.0</v>
      </c>
      <c r="E1020" s="7" t="n">
        <f>HYPERLINK("https://www.somogyi.sk/productimages/product_main_images/small/01866.jpg","https://www.somogyi.sk/productimages/product_main_images/small/01866.jpg")</f>
        <v>0.0</v>
      </c>
      <c r="F1020" s="2" t="inlineStr">
        <is>
          <t>5998312704127</t>
        </is>
      </c>
      <c r="G1020" s="4" t="inlineStr">
        <is>
          <t xml:space="preserve"> • prípojka: Ø3,5 mm vidlica 
 • materiál krytu: plastová 
 • pozlátený: nie 
 • zapojenie: spájkovateľná 
 • stereo/mono: stereo</t>
        </is>
      </c>
    </row>
    <row r="1021">
      <c r="A1021" s="3" t="inlineStr">
        <is>
          <t>SK 4M</t>
        </is>
      </c>
      <c r="B1021" s="2" t="inlineStr">
        <is>
          <t>Jack vidlica, stereo, kovová, 3,5mm</t>
        </is>
      </c>
      <c r="C1021" s="1" t="n">
        <v>0.75</v>
      </c>
      <c r="D1021" s="7" t="n">
        <f>HYPERLINK("https://www.somogyi.sk/product/jack-vidlica-stereo-kovova-3-5mm-sk-4m-2005","https://www.somogyi.sk/product/jack-vidlica-stereo-kovova-3-5mm-sk-4m-2005")</f>
        <v>0.0</v>
      </c>
      <c r="E1021" s="7" t="n">
        <f>HYPERLINK("https://www.somogyi.sk/productimages/product_main_images/small/02005.jpg","https://www.somogyi.sk/productimages/product_main_images/small/02005.jpg")</f>
        <v>0.0</v>
      </c>
      <c r="F1021" s="2" t="inlineStr">
        <is>
          <t>5998312717417</t>
        </is>
      </c>
      <c r="G1021" s="4" t="inlineStr">
        <is>
          <t xml:space="preserve"> • prípojka: Ø3,5 mm vidlica 
 • materiál krytu: kovová 
 • pozlátený: nie 
 • zapojenie: spájkovateľná 
 • stereo/mono: stereo</t>
        </is>
      </c>
    </row>
    <row r="1022">
      <c r="A1022" s="3" t="inlineStr">
        <is>
          <t>SK 3M</t>
        </is>
      </c>
      <c r="B1022" s="2" t="inlineStr">
        <is>
          <t>Jack vidlica, stereo, kovová, 6,3mm</t>
        </is>
      </c>
      <c r="C1022" s="1" t="n">
        <v>0.99</v>
      </c>
      <c r="D1022" s="7" t="n">
        <f>HYPERLINK("https://www.somogyi.sk/product/jack-vidlica-stereo-kovova-6-3mm-sk-3m-1865","https://www.somogyi.sk/product/jack-vidlica-stereo-kovova-6-3mm-sk-3m-1865")</f>
        <v>0.0</v>
      </c>
      <c r="E1022" s="7" t="n">
        <f>HYPERLINK("https://www.somogyi.sk/productimages/product_main_images/small/01865.jpg","https://www.somogyi.sk/productimages/product_main_images/small/01865.jpg")</f>
        <v>0.0</v>
      </c>
      <c r="F1022" s="2" t="inlineStr">
        <is>
          <t>5998312704110</t>
        </is>
      </c>
      <c r="G1022" s="4" t="inlineStr">
        <is>
          <t xml:space="preserve"> • prípojka: Ø6,3 mm vidlica 
 • materiál krytu: kovová 
 • pozlátený: nie 
 • zapojenie: spájkovateľná 
 • stereo/mono: stereo</t>
        </is>
      </c>
    </row>
    <row r="1023">
      <c r="A1023" s="6" t="inlineStr">
        <is>
          <t xml:space="preserve">   Audio-video doplnky / Audiokábel</t>
        </is>
      </c>
      <c r="B1023" s="6" t="inlineStr">
        <is>
          <t/>
        </is>
      </c>
      <c r="C1023" s="6" t="inlineStr">
        <is>
          <t/>
        </is>
      </c>
      <c r="D1023" s="6" t="inlineStr">
        <is>
          <t/>
        </is>
      </c>
      <c r="E1023" s="6" t="inlineStr">
        <is>
          <t/>
        </is>
      </c>
      <c r="F1023" s="6" t="inlineStr">
        <is>
          <t/>
        </is>
      </c>
      <c r="G1023" s="6" t="inlineStr">
        <is>
          <t/>
        </is>
      </c>
    </row>
    <row r="1024">
      <c r="A1024" s="3" t="inlineStr">
        <is>
          <t>MC 625/BK</t>
        </is>
      </c>
      <c r="B1024" s="2" t="inlineStr">
        <is>
          <t>Mikrofónový kábel, 2 žilový, tienený, 50m/kotúč</t>
        </is>
      </c>
      <c r="C1024" s="1" t="n">
        <v>1.45</v>
      </c>
      <c r="D1024" s="7" t="n">
        <f>HYPERLINK("https://www.somogyi.sk/product/mikrofonovy-kabel-2-zilovy-tieneny-50m-kotuc-mc-625-bk-2591","https://www.somogyi.sk/product/mikrofonovy-kabel-2-zilovy-tieneny-50m-kotuc-mc-625-bk-2591")</f>
        <v>0.0</v>
      </c>
      <c r="E1024" s="7" t="n">
        <f>HYPERLINK("https://www.somogyi.sk/productimages/product_main_images/small/02591.jpg","https://www.somogyi.sk/productimages/product_main_images/small/02591.jpg")</f>
        <v>0.0</v>
      </c>
      <c r="F1024" s="2" t="inlineStr">
        <is>
          <t>5998312729052</t>
        </is>
      </c>
      <c r="G1024" s="4" t="inlineStr">
        <is>
          <t xml:space="preserve"> • prierez kábla: 2 x 0,35 mm² 
 • štruktúra kábla: 2C x (31 x 0,12 mm) / (28 x 0,12 mm) textil + papier 
 • farba izolácie: čierna 
 • vonkajší priemer: Ø6,2 mm 
 • meter / kotúč: 50 m / kotúč</t>
        </is>
      </c>
    </row>
    <row r="1025">
      <c r="A1025" s="3" t="inlineStr">
        <is>
          <t>KN 4</t>
        </is>
      </c>
      <c r="B1025" s="2" t="inlineStr">
        <is>
          <t>Tienený kábel, 1 žilový, 100m/kotúč</t>
        </is>
      </c>
      <c r="C1025" s="1" t="n">
        <v>0.31</v>
      </c>
      <c r="D1025" s="7" t="n">
        <f>HYPERLINK("https://www.somogyi.sk/product/tieneny-kabel-1-zilovy-100m-kotuc-kn-4-1801","https://www.somogyi.sk/product/tieneny-kabel-1-zilovy-100m-kotuc-kn-4-1801")</f>
        <v>0.0</v>
      </c>
      <c r="E1025" s="7" t="n">
        <f>HYPERLINK("https://www.somogyi.sk/productimages/product_main_images/small/01801.jpg","https://www.somogyi.sk/productimages/product_main_images/small/01801.jpg")</f>
        <v>0.0</v>
      </c>
      <c r="F1025" s="2" t="inlineStr">
        <is>
          <t>5998312702888</t>
        </is>
      </c>
      <c r="G1025" s="4" t="inlineStr">
        <is>
          <t xml:space="preserve"> • prierez kábla: 0,14 mm² 
 • štruktúra kábla: 12 x 0,12 mm / 28 x 0,12 mm tienený 
 • farba izolácie: čierna 
 • vonkajší priemer: Ø2,8 mm 
 • meter / kotúč: 100 m / kotúč</t>
        </is>
      </c>
    </row>
    <row r="1026">
      <c r="A1026" s="3" t="inlineStr">
        <is>
          <t>KN 6</t>
        </is>
      </c>
      <c r="B1026" s="2" t="inlineStr">
        <is>
          <t>Tienený kábel, 2 žilový, plochý, 100m/kotúč</t>
        </is>
      </c>
      <c r="C1026" s="1" t="n">
        <v>0.55</v>
      </c>
      <c r="D1026" s="7" t="n">
        <f>HYPERLINK("https://www.somogyi.sk/product/tieneny-kabel-2-zilovy-plochy-100m-kotuc-kn-6-1802","https://www.somogyi.sk/product/tieneny-kabel-2-zilovy-plochy-100m-kotuc-kn-6-1802")</f>
        <v>0.0</v>
      </c>
      <c r="E1026" s="7" t="n">
        <f>HYPERLINK("https://www.somogyi.sk/productimages/product_main_images/small/01802.jpg","https://www.somogyi.sk/productimages/product_main_images/small/01802.jpg")</f>
        <v>0.0</v>
      </c>
      <c r="F1026" s="2" t="inlineStr">
        <is>
          <t>5998312702895</t>
        </is>
      </c>
      <c r="G1026" s="4" t="inlineStr">
        <is>
          <t xml:space="preserve"> • prierez kábla: 2 x 0,08 mm² 
 • štruktúra kábla: 2C x (10 x 0,1 mm) / 2 x (28 x 0,12 mm) tienený 
 • farba izolácie: čierna 
 • vonkajší priemer: 2,8 x 5,6 mm 
 • meter / kotúč: 100 m / kotúč</t>
        </is>
      </c>
    </row>
    <row r="1027">
      <c r="A1027" s="6" t="inlineStr">
        <is>
          <t xml:space="preserve">   Audio-video doplnky / Koaxiálny kábel</t>
        </is>
      </c>
      <c r="B1027" s="6" t="inlineStr">
        <is>
          <t/>
        </is>
      </c>
      <c r="C1027" s="6" t="inlineStr">
        <is>
          <t/>
        </is>
      </c>
      <c r="D1027" s="6" t="inlineStr">
        <is>
          <t/>
        </is>
      </c>
      <c r="E1027" s="6" t="inlineStr">
        <is>
          <t/>
        </is>
      </c>
      <c r="F1027" s="6" t="inlineStr">
        <is>
          <t/>
        </is>
      </c>
      <c r="G1027" s="6" t="inlineStr">
        <is>
          <t/>
        </is>
      </c>
    </row>
    <row r="1028">
      <c r="A1028" s="3" t="inlineStr">
        <is>
          <t>RG 58</t>
        </is>
      </c>
      <c r="B1028" s="2" t="inlineStr">
        <is>
          <t>Koaxiálny kábel, 50 ohm, 100m/kotúč</t>
        </is>
      </c>
      <c r="C1028" s="1" t="n">
        <v>0.79</v>
      </c>
      <c r="D1028" s="7" t="n">
        <f>HYPERLINK("https://www.somogyi.sk/product/koaxialny-kabel-50-ohm-100m-kotuc-rg-58-1820","https://www.somogyi.sk/product/koaxialny-kabel-50-ohm-100m-kotuc-rg-58-1820")</f>
        <v>0.0</v>
      </c>
      <c r="E1028" s="7" t="n">
        <f>HYPERLINK("https://www.somogyi.sk/productimages/product_main_images/small/01820.jpg","https://www.somogyi.sk/productimages/product_main_images/small/01820.jpg")</f>
        <v>0.0</v>
      </c>
      <c r="F1028" s="2" t="inlineStr">
        <is>
          <t>5998312703410</t>
        </is>
      </c>
      <c r="G1028" s="4" t="inlineStr">
        <is>
          <t xml:space="preserve"> • štruktúra kábla: Ø5 mm PVC izolácia / Ø0,12 mm x 96 medené opletenie / Ø2,95 mm penová PE izolácia / Ø0,18 mm x 19 medená vnútorná žila 
 • impedancia: 50 Ω 
 • farba izolácie: čierna 
 • vonkajší priemer: Ø5 mm 
 • meter / kotúč: 100 m / kotúč</t>
        </is>
      </c>
    </row>
    <row r="1029">
      <c r="A1029" s="3" t="inlineStr">
        <is>
          <t>S 6TSV/BK</t>
        </is>
      </c>
      <c r="B1029" s="2" t="inlineStr">
        <is>
          <t>Koaxiálny kábel, 75 ohm, 305m/kotúč</t>
        </is>
      </c>
      <c r="C1029" s="1" t="n">
        <v>87.99</v>
      </c>
      <c r="D1029" s="7" t="n">
        <f>HYPERLINK("https://www.somogyi.sk/product/koaxialny-kabel-75-ohm-305m-kotuc-s-6tsv-bk-2879","https://www.somogyi.sk/product/koaxialny-kabel-75-ohm-305m-kotuc-s-6tsv-bk-2879")</f>
        <v>0.0</v>
      </c>
      <c r="E1029" s="7" t="n">
        <f>HYPERLINK("https://www.somogyi.sk/productimages/product_main_images/small/02879.jpg","https://www.somogyi.sk/productimages/product_main_images/small/02879.jpg")</f>
        <v>0.0</v>
      </c>
      <c r="F1029" s="2" t="inlineStr">
        <is>
          <t>5998312732038</t>
        </is>
      </c>
      <c r="G1029" s="4" t="inlineStr">
        <is>
          <t xml:space="preserve"> • štruktúra kábla: Ø7,06 mm PVC izolácia / hliník + PET fólia / Ø0,12 mm x 80 hliníkové opletenie / hliník + PET fólia / Ø4,6 mm penová PE izolácia / Ø1,02 mm pomedená, oceľová vnútorná žila 
 • impedancia: 75 Ω 
 • farba izolácie: čierna 
 • vonkajší priemer: Ø7,06 mm 
 • meter / kotúč: 305 m / kotúč</t>
        </is>
      </c>
    </row>
    <row r="1030">
      <c r="A1030" s="3" t="inlineStr">
        <is>
          <t>RG 6-32/BK</t>
        </is>
      </c>
      <c r="B1030" s="2" t="inlineStr">
        <is>
          <t>Koaxiálny kábel, 75 ohm, 100m/kotúč</t>
        </is>
      </c>
      <c r="C1030" s="1" t="n">
        <v>0.55</v>
      </c>
      <c r="D1030" s="7" t="n">
        <f>HYPERLINK("https://www.somogyi.sk/product/koaxialny-kabel-75-ohm-100m-kotuc-rg-6-32-bk-2330","https://www.somogyi.sk/product/koaxialny-kabel-75-ohm-100m-kotuc-rg-6-32-bk-2330")</f>
        <v>0.0</v>
      </c>
      <c r="E1030" s="7" t="n">
        <f>HYPERLINK("https://www.somogyi.sk/productimages/product_main_images/small/02330.jpg","https://www.somogyi.sk/productimages/product_main_images/small/02330.jpg")</f>
        <v>0.0</v>
      </c>
      <c r="F1030" s="2" t="inlineStr">
        <is>
          <t>5998312726181</t>
        </is>
      </c>
      <c r="G1030" s="4" t="inlineStr">
        <is>
          <t xml:space="preserve"> • štruktúra kábla: Ø6,5 mm PVC izolácia / Ø0,12 mm x 32 medené opletenie / hliník + PET fólia / Ø4,6 mm penová PE izolácia / Ø0,9 mm medená vnútorná žila 
 • impedancia: 75 Ω 
 • farba izolácie: čierna 
 • vonkajší priemer: Ø6,5 mm 
 • meter / kotúč: 100 m / kotúč</t>
        </is>
      </c>
    </row>
    <row r="1031">
      <c r="A1031" s="3" t="inlineStr">
        <is>
          <t>RG 6U/BK</t>
        </is>
      </c>
      <c r="B1031" s="2" t="inlineStr">
        <is>
          <t>Koaxiálny kábel, 75 ohm, 100m/kotúč</t>
        </is>
      </c>
      <c r="C1031" s="1" t="n">
        <v>0.26</v>
      </c>
      <c r="D1031" s="7" t="n">
        <f>HYPERLINK("https://www.somogyi.sk/product/koaxialny-kabel-75-ohm-100m-kotuc-rg-6u-bk-3007","https://www.somogyi.sk/product/koaxialny-kabel-75-ohm-100m-kotuc-rg-6u-bk-3007")</f>
        <v>0.0</v>
      </c>
      <c r="E1031" s="7" t="n">
        <f>HYPERLINK("https://www.somogyi.sk/productimages/product_main_images/small/03007.jpg","https://www.somogyi.sk/productimages/product_main_images/small/03007.jpg")</f>
        <v>0.0</v>
      </c>
      <c r="F1031" s="2" t="inlineStr">
        <is>
          <t>5998312733318</t>
        </is>
      </c>
      <c r="G1031" s="4" t="inlineStr">
        <is>
          <t xml:space="preserve"> • štruktúra kábla: Ø6,9 mm PVC izolácia / Ø0,12 mm x 48 hliníkové opletenie / hliník + PET fólia / Ø4,6 mm penová PE izolácia / Ø1 mm pomedená, oceľová vnútorná žila 
 • impedancia: 75 Ω 
 • farba izolácie: čierna 
 • vonkajší priemer: Ø6,9 mm 
 • meter / kotúč: 100 m / kotúč</t>
        </is>
      </c>
    </row>
    <row r="1032">
      <c r="A1032" s="3" t="inlineStr">
        <is>
          <t>RG 6U/WH</t>
        </is>
      </c>
      <c r="B1032" s="2" t="inlineStr">
        <is>
          <t>Koaxiálny kábel, 75 ohm, 100m/kotúč</t>
        </is>
      </c>
      <c r="C1032" s="1" t="n">
        <v>0.26</v>
      </c>
      <c r="D1032" s="7" t="n">
        <f>HYPERLINK("https://www.somogyi.sk/product/koaxialny-kabel-75-ohm-100m-kotuc-rg-6u-wh-3006","https://www.somogyi.sk/product/koaxialny-kabel-75-ohm-100m-kotuc-rg-6u-wh-3006")</f>
        <v>0.0</v>
      </c>
      <c r="E1032" s="7" t="n">
        <f>HYPERLINK("https://www.somogyi.sk/productimages/product_main_images/small/03006.jpg","https://www.somogyi.sk/productimages/product_main_images/small/03006.jpg")</f>
        <v>0.0</v>
      </c>
      <c r="F1032" s="2" t="inlineStr">
        <is>
          <t>5998312733301</t>
        </is>
      </c>
      <c r="G1032" s="4" t="inlineStr">
        <is>
          <t xml:space="preserve"> • štruktúra kábla: Ø6,9 mm PVC izolácia / Ø0,12 mm x 48 hliníkové opletenie / hliník + PET fólia / Ø4,6 mm penová PE izolácia / Ø1 mm pomedená, oceľová vnútorná žila 
 • impedancia: 75 Ω 
 • farba izolácie: biela 
 • vonkajší priemer: Ø6,9 mm 
 • meter / kotúč: 100 m / kotúč</t>
        </is>
      </c>
    </row>
    <row r="1033">
      <c r="A1033" s="3" t="inlineStr">
        <is>
          <t>RG 6U-500/WH</t>
        </is>
      </c>
      <c r="B1033" s="2" t="inlineStr">
        <is>
          <t>Koaxiálny kábel, 75 ohm, 500m/kotúč</t>
        </is>
      </c>
      <c r="C1033" s="1" t="n">
        <v>123.9</v>
      </c>
      <c r="D1033" s="7" t="n">
        <f>HYPERLINK("https://www.somogyi.sk/product/koaxialny-kabel-75-ohm-500m-kotuc-rg-6u-500-wh-4220","https://www.somogyi.sk/product/koaxialny-kabel-75-ohm-500m-kotuc-rg-6u-500-wh-4220")</f>
        <v>0.0</v>
      </c>
      <c r="E1033" s="7" t="n">
        <f>HYPERLINK("https://www.somogyi.sk/productimages/product_main_images/small/04220.jpg","https://www.somogyi.sk/productimages/product_main_images/small/04220.jpg")</f>
        <v>0.0</v>
      </c>
      <c r="F1033" s="2" t="inlineStr">
        <is>
          <t>5998312737378</t>
        </is>
      </c>
      <c r="G1033" s="4" t="inlineStr">
        <is>
          <t xml:space="preserve"> • štruktúra kábla: Ø6,9 mm PVC izolácia / Ø0,12 mm x 48 hliníkové opletenie / hliník + PET fólia / Ø4,6 mm penová PE izolácia / Ø1 mm pomedená, oceľová vnútorná žila 
 • impedancia: 75 Ω 
 • farba izolácie: biela 
 • vonkajší priemer: Ø6,9 mm 
 • meter / kotúč: 500 m / kotúč</t>
        </is>
      </c>
    </row>
    <row r="1034">
      <c r="A1034" s="3" t="inlineStr">
        <is>
          <t>S 6TSP/WH</t>
        </is>
      </c>
      <c r="B1034" s="2" t="inlineStr">
        <is>
          <t>Koaxiálny kábel, 75 ohm, 100m/kotúč</t>
        </is>
      </c>
      <c r="C1034" s="1" t="n">
        <v>30.99</v>
      </c>
      <c r="D1034" s="7" t="n">
        <f>HYPERLINK("https://www.somogyi.sk/product/koaxialny-kabel-75-ohm-100m-kotuc-s-6tsp-wh-11827","https://www.somogyi.sk/product/koaxialny-kabel-75-ohm-100m-kotuc-s-6tsp-wh-11827")</f>
        <v>0.0</v>
      </c>
      <c r="E1034" s="7" t="n">
        <f>HYPERLINK("https://www.somogyi.sk/productimages/product_main_images/small/11827.jpg","https://www.somogyi.sk/productimages/product_main_images/small/11827.jpg")</f>
        <v>0.0</v>
      </c>
      <c r="F1034" s="2" t="inlineStr">
        <is>
          <t>5999084900397</t>
        </is>
      </c>
      <c r="G1034" s="4" t="inlineStr">
        <is>
          <t xml:space="preserve"> • štruktúra kábla: Ø7,06 mm PVC izolácia / hliník + PET fólia / Ø0,12 mm x 80 hliníkové opletenie / hliník + PET fólia / Ø4,6 mm penová PE izolácia / Ø1,02 mm pomedená, oceľová vnútorná žila 
 • impedancia: 75 Ω 
 • farba izolácie: biela 
 • vonkajší priemer: Ø7,06 mm 
 • meter / kotúč: 100 m / kotúč</t>
        </is>
      </c>
    </row>
    <row r="1035">
      <c r="A1035" s="3" t="inlineStr">
        <is>
          <t>S 6TSV/WH</t>
        </is>
      </c>
      <c r="B1035" s="2" t="inlineStr">
        <is>
          <t>Koaxiálny kábel, 75 ohm, 305m/kotúč</t>
        </is>
      </c>
      <c r="C1035" s="1" t="n">
        <v>87.99</v>
      </c>
      <c r="D1035" s="7" t="n">
        <f>HYPERLINK("https://www.somogyi.sk/product/koaxialny-kabel-75-ohm-305m-kotuc-s-6tsv-wh-3115","https://www.somogyi.sk/product/koaxialny-kabel-75-ohm-305m-kotuc-s-6tsv-wh-3115")</f>
        <v>0.0</v>
      </c>
      <c r="E1035" s="7" t="n">
        <f>HYPERLINK("https://www.somogyi.sk/productimages/product_main_images/small/03115.jpg","https://www.somogyi.sk/productimages/product_main_images/small/03115.jpg")</f>
        <v>0.0</v>
      </c>
      <c r="F1035" s="2" t="inlineStr">
        <is>
          <t>5998312734391</t>
        </is>
      </c>
      <c r="G1035" s="4" t="inlineStr">
        <is>
          <t xml:space="preserve"> • štruktúra kábla: Ø7,06 mm PVC izolácia / hliník + PET fólia / Ø0,12 mm x 80 hliníkové opletenie / hliník + PET fólia / Ø4,6 mm penová PE izolácia / Ø1,02 mm pomedená, oceľová vnútorná žila 
 • impedancia: 75 Ω 
 • farba izolácie: biela 
 • vonkajší priemer: Ø7,06 mm 
 • meter / kotúč: 305 m / kotúč</t>
        </is>
      </c>
    </row>
    <row r="1036">
      <c r="A1036" s="3" t="inlineStr">
        <is>
          <t>KH 3</t>
        </is>
      </c>
      <c r="B1036" s="2" t="inlineStr">
        <is>
          <t>Koaxiálny kábel, 75 ohm, 100m/kotúč</t>
        </is>
      </c>
      <c r="C1036" s="1" t="n">
        <v>0.35</v>
      </c>
      <c r="D1036" s="7" t="n">
        <f>HYPERLINK("https://www.somogyi.sk/product/koaxialny-kabel-75-ohm-100m-kotuc-kh-3-1796","https://www.somogyi.sk/product/koaxialny-kabel-75-ohm-100m-kotuc-kh-3-1796")</f>
        <v>0.0</v>
      </c>
      <c r="E1036" s="7" t="n">
        <f>HYPERLINK("https://www.somogyi.sk/productimages/product_main_images/small/01796.jpg","https://www.somogyi.sk/productimages/product_main_images/small/01796.jpg")</f>
        <v>0.0</v>
      </c>
      <c r="F1036" s="2" t="inlineStr">
        <is>
          <t>5998312702826</t>
        </is>
      </c>
      <c r="G1036" s="4" t="inlineStr">
        <is>
          <t xml:space="preserve"> • štruktúra kábla: Ø4,2 mm PVC izolácia / Ø0,12 mm x 48 medené opletenie / hliníková fólia / Ø2,6 mm penová PE izolácia / Ø0,5 mm pomedená vnútorná žila 
 • impedancia: 75 Ω 
 • farba izolácie: biela 
 • vonkajší priemer: Ø4,2 mm 
 • meter / kotúč: 100 m / kotúč</t>
        </is>
      </c>
    </row>
    <row r="1037">
      <c r="A1037" s="3" t="inlineStr">
        <is>
          <t>RG 6-32/WH</t>
        </is>
      </c>
      <c r="B1037" s="2" t="inlineStr">
        <is>
          <t>Koaxiálny kábel, 75 ohm, 100m/kotúč</t>
        </is>
      </c>
      <c r="C1037" s="1" t="n">
        <v>0.55</v>
      </c>
      <c r="D1037" s="7" t="n">
        <f>HYPERLINK("https://www.somogyi.sk/product/koaxialny-kabel-75-ohm-100m-kotuc-rg-6-32-wh-2329","https://www.somogyi.sk/product/koaxialny-kabel-75-ohm-100m-kotuc-rg-6-32-wh-2329")</f>
        <v>0.0</v>
      </c>
      <c r="E1037" s="7" t="n">
        <f>HYPERLINK("https://www.somogyi.sk/productimages/product_main_images/small/02329.jpg","https://www.somogyi.sk/productimages/product_main_images/small/02329.jpg")</f>
        <v>0.0</v>
      </c>
      <c r="F1037" s="2" t="inlineStr">
        <is>
          <t>5998312726167</t>
        </is>
      </c>
      <c r="G1037" s="4" t="inlineStr">
        <is>
          <t xml:space="preserve"> • štruktúra kábla: Ø6,5 mm PVC izolácia / Ø0,12 mm x 32 medené opletenie / hliník + PET fólia / Ø4,6 mm penová PE izolácia / Ø0,9 mm medená vnútorná žila 
 • impedancia: 75 Ω 
 • farba izolácie: biela 
 • vonkajší priemer: Ø6,5 mm 
 • meter / kotúč: 100 m / kotúč</t>
        </is>
      </c>
    </row>
    <row r="1038">
      <c r="A1038" s="6" t="inlineStr">
        <is>
          <t xml:space="preserve">   Audio-video doplnky / Koaxiálna prípojka /rozbočovač, f prípojka</t>
        </is>
      </c>
      <c r="B1038" s="6" t="inlineStr">
        <is>
          <t/>
        </is>
      </c>
      <c r="C1038" s="6" t="inlineStr">
        <is>
          <t/>
        </is>
      </c>
      <c r="D1038" s="6" t="inlineStr">
        <is>
          <t/>
        </is>
      </c>
      <c r="E1038" s="6" t="inlineStr">
        <is>
          <t/>
        </is>
      </c>
      <c r="F1038" s="6" t="inlineStr">
        <is>
          <t/>
        </is>
      </c>
      <c r="G1038" s="6" t="inlineStr">
        <is>
          <t/>
        </is>
      </c>
    </row>
    <row r="1039">
      <c r="A1039" s="3" t="inlineStr">
        <is>
          <t>FST 2</t>
        </is>
      </c>
      <c r="B1039" s="2" t="inlineStr">
        <is>
          <t>Koaxiálna zásuvka, kovová, skrutkovateľná na koax.</t>
        </is>
      </c>
      <c r="C1039" s="1" t="n">
        <v>1.39</v>
      </c>
      <c r="D1039" s="7" t="n">
        <f>HYPERLINK("https://www.somogyi.sk/product/koaxialna-zasuvka-kovova-skrutkovatelna-na-koax-fst-2-1790","https://www.somogyi.sk/product/koaxialna-zasuvka-kovova-skrutkovatelna-na-koax-fst-2-1790")</f>
        <v>0.0</v>
      </c>
      <c r="E1039" s="7" t="n">
        <f>HYPERLINK("https://www.somogyi.sk/productimages/product_main_images/small/01790.jpg","https://www.somogyi.sk/productimages/product_main_images/small/01790.jpg")</f>
        <v>0.0</v>
      </c>
      <c r="F1039" s="2" t="inlineStr">
        <is>
          <t>5998312702536</t>
        </is>
      </c>
      <c r="G1039" s="4" t="inlineStr">
        <is>
          <t xml:space="preserve"> • prípojky: koaxiálna zásuvka 
 • materiál krytu: kovová 
 • zapojenie: pre koax. kábel RG 6</t>
        </is>
      </c>
    </row>
    <row r="1040">
      <c r="A1040" s="3" t="inlineStr">
        <is>
          <t>FS 12X</t>
        </is>
      </c>
      <c r="B1040" s="2" t="inlineStr">
        <is>
          <t>1x koax. vidlica + 1x koax. zásuvka</t>
        </is>
      </c>
      <c r="C1040" s="1" t="n">
        <v>1.05</v>
      </c>
      <c r="D1040" s="7" t="n">
        <f>HYPERLINK("https://www.somogyi.sk/product/1x-koax-vidlica-1x-koax-zasuvka-fs-12x-2194","https://www.somogyi.sk/product/1x-koax-vidlica-1x-koax-zasuvka-fs-12x-2194")</f>
        <v>0.0</v>
      </c>
      <c r="E1040" s="7" t="n">
        <f>HYPERLINK("https://www.somogyi.sk/productimages/product_main_images/small/02194.jpg","https://www.somogyi.sk/productimages/product_main_images/small/02194.jpg")</f>
        <v>0.0</v>
      </c>
      <c r="F1040" s="2" t="inlineStr">
        <is>
          <t>5998312724590</t>
        </is>
      </c>
      <c r="G1040" s="4" t="inlineStr">
        <is>
          <t xml:space="preserve"> • prípojky: koaxiálna lomená vidlica + koaxiálna lomená zásuvka 
 • materiál krytu: plastová 
 • zapojenie: skrutkovateľná 
 • blister: áno</t>
        </is>
      </c>
    </row>
    <row r="1041">
      <c r="A1041" s="3" t="inlineStr">
        <is>
          <t>FS 15</t>
        </is>
      </c>
      <c r="B1041" s="2" t="inlineStr">
        <is>
          <t>Koaxiálna zásuvka, kovová</t>
        </is>
      </c>
      <c r="C1041" s="1" t="n">
        <v>0.99</v>
      </c>
      <c r="D1041" s="7" t="n">
        <f>HYPERLINK("https://www.somogyi.sk/product/koaxialna-zasuvka-kovova-fs-15-1773","https://www.somogyi.sk/product/koaxialna-zasuvka-kovova-fs-15-1773")</f>
        <v>0.0</v>
      </c>
      <c r="E1041" s="7" t="n">
        <f>HYPERLINK("https://www.somogyi.sk/productimages/product_main_images/small/01773.jpg","https://www.somogyi.sk/productimages/product_main_images/small/01773.jpg")</f>
        <v>0.0</v>
      </c>
      <c r="F1041" s="2" t="inlineStr">
        <is>
          <t>5998312702352</t>
        </is>
      </c>
      <c r="G1041" s="4" t="inlineStr">
        <is>
          <t xml:space="preserve"> • prípojky: koaxiálna zásuvka 
 • materiál krytu: kovová 
 • zapojenie: skrutkovateľná</t>
        </is>
      </c>
    </row>
    <row r="1042">
      <c r="A1042" s="3" t="inlineStr">
        <is>
          <t>FF 18X</t>
        </is>
      </c>
      <c r="B1042" s="2" t="inlineStr">
        <is>
          <t>Koaxiálna vidlica, F zásuvka, blister</t>
        </is>
      </c>
      <c r="C1042" s="1" t="n">
        <v>1.59</v>
      </c>
      <c r="D1042" s="7" t="n">
        <f>HYPERLINK("https://www.somogyi.sk/product/koaxialna-vidlica-f-zasuvka-blister-ff-18x-2183","https://www.somogyi.sk/product/koaxialna-vidlica-f-zasuvka-blister-ff-18x-2183")</f>
        <v>0.0</v>
      </c>
      <c r="E1042" s="7" t="n">
        <f>HYPERLINK("https://www.somogyi.sk/productimages/product_main_images/small/02183.jpg","https://www.somogyi.sk/productimages/product_main_images/small/02183.jpg")</f>
        <v>0.0</v>
      </c>
      <c r="F1042" s="2" t="inlineStr">
        <is>
          <t>5998312724484</t>
        </is>
      </c>
      <c r="G1042" s="4" t="inlineStr">
        <is>
          <t xml:space="preserve"> • prípojky: koaxiálna vidlica / F zásuvka 
 • materiál krytu: kovová 
 • blister: áno</t>
        </is>
      </c>
    </row>
    <row r="1043">
      <c r="A1043" s="3" t="inlineStr">
        <is>
          <t>TS 1911X</t>
        </is>
      </c>
      <c r="B1043" s="2" t="inlineStr">
        <is>
          <t>F rozbočovač, 3 pásmový, blister</t>
        </is>
      </c>
      <c r="C1043" s="1" t="n">
        <v>1.05</v>
      </c>
      <c r="D1043" s="7" t="n">
        <f>HYPERLINK("https://www.somogyi.sk/product/f-rozbocovac-3-pasmovy-blister-ts-1911x-2187","https://www.somogyi.sk/product/f-rozbocovac-3-pasmovy-blister-ts-1911x-2187")</f>
        <v>0.0</v>
      </c>
      <c r="E1043" s="7" t="n">
        <f>HYPERLINK("https://www.somogyi.sk/productimages/product_main_images/small/02187.jpg","https://www.somogyi.sk/productimages/product_main_images/small/02187.jpg")</f>
        <v>0.0</v>
      </c>
      <c r="F1043" s="2" t="inlineStr">
        <is>
          <t>5998312724521</t>
        </is>
      </c>
      <c r="G1043" s="4" t="inlineStr">
        <is>
          <t xml:space="preserve"> • prípojky: "F" vstup / 3 x "F" výstup 
 • materiál krytu: kovová 
 • frekvenčné pásmo: 5 - 900 MHz 
 • blister: áno</t>
        </is>
      </c>
    </row>
    <row r="1044">
      <c r="A1044" s="3" t="inlineStr">
        <is>
          <t>TSP 1910</t>
        </is>
      </c>
      <c r="B1044" s="2" t="inlineStr">
        <is>
          <t>F rozbočovač, 2 pásmový</t>
        </is>
      </c>
      <c r="C1044" s="1" t="n">
        <v>3.19</v>
      </c>
      <c r="D1044" s="7" t="n">
        <f>HYPERLINK("https://www.somogyi.sk/product/f-rozbocovac-2-pasmovy-tsp-1910-5138","https://www.somogyi.sk/product/f-rozbocovac-2-pasmovy-tsp-1910-5138")</f>
        <v>0.0</v>
      </c>
      <c r="E1044" s="7" t="n">
        <f>HYPERLINK("https://www.somogyi.sk/productimages/product_main_images/small/05138.jpg","https://www.somogyi.sk/productimages/product_main_images/small/05138.jpg")</f>
        <v>0.0</v>
      </c>
      <c r="F1044" s="2" t="inlineStr">
        <is>
          <t>5998312745267</t>
        </is>
      </c>
      <c r="G1044" s="4" t="inlineStr">
        <is>
          <t xml:space="preserve"> • prípojky: "F" vstup / 2 x "F" výstup 
 • materiál krytu: kovová 
 • frekvenčné pásmo: 900 - 2400 MHz</t>
        </is>
      </c>
    </row>
    <row r="1045">
      <c r="A1045" s="3" t="inlineStr">
        <is>
          <t>TSP 1913</t>
        </is>
      </c>
      <c r="B1045" s="2" t="inlineStr">
        <is>
          <t>F rozbočovač, 4 pásmový, SAT</t>
        </is>
      </c>
      <c r="C1045" s="1" t="n">
        <v>4.19</v>
      </c>
      <c r="D1045" s="7" t="n">
        <f>HYPERLINK("https://www.somogyi.sk/product/f-rozbocovac-4-pasmovy-sat-tsp-1913-5140","https://www.somogyi.sk/product/f-rozbocovac-4-pasmovy-sat-tsp-1913-5140")</f>
        <v>0.0</v>
      </c>
      <c r="E1045" s="7" t="n">
        <f>HYPERLINK("https://www.somogyi.sk/productimages/product_main_images/small/05140.jpg","https://www.somogyi.sk/productimages/product_main_images/small/05140.jpg")</f>
        <v>0.0</v>
      </c>
      <c r="F1045" s="2" t="inlineStr">
        <is>
          <t>5998312745281</t>
        </is>
      </c>
      <c r="G1045" s="4" t="inlineStr">
        <is>
          <t xml:space="preserve"> • prípojky: "F" vstup / 4 x "F" výstup 
 • materiál krytu: kovová 
 • frekvenčné pásmo: 900 - 2400 MHz</t>
        </is>
      </c>
    </row>
    <row r="1046">
      <c r="A1046" s="3" t="inlineStr">
        <is>
          <t>TSP 1911X</t>
        </is>
      </c>
      <c r="B1046" s="2" t="inlineStr">
        <is>
          <t>F rozbočovač, 3 pásmový, SAT, blister</t>
        </is>
      </c>
      <c r="C1046" s="1" t="n">
        <v>4.19</v>
      </c>
      <c r="D1046" s="7" t="n">
        <f>HYPERLINK("https://www.somogyi.sk/product/f-rozbocovac-3-pasmovy-sat-blister-tsp-1911x-5506","https://www.somogyi.sk/product/f-rozbocovac-3-pasmovy-sat-blister-tsp-1911x-5506")</f>
        <v>0.0</v>
      </c>
      <c r="E1046" s="7" t="n">
        <f>HYPERLINK("https://www.somogyi.sk/productimages/product_main_images/small/05506.jpg","https://www.somogyi.sk/productimages/product_main_images/small/05506.jpg")</f>
        <v>0.0</v>
      </c>
      <c r="F1046" s="2" t="inlineStr">
        <is>
          <t>5998312748695</t>
        </is>
      </c>
      <c r="G1046" s="4" t="inlineStr">
        <is>
          <t xml:space="preserve"> • prípojky: "F" vstup / 3 x "F" výstup 
 • materiál krytu: kovová 
 • frekvenčné pásmo: 900 - 2400 MHz 
 • blister: áno</t>
        </is>
      </c>
    </row>
    <row r="1047">
      <c r="A1047" s="3" t="inlineStr">
        <is>
          <t>FS 1819X</t>
        </is>
      </c>
      <c r="B1047" s="2" t="inlineStr">
        <is>
          <t>1 ks koax. vidlice + 1 ks koax. zásuvky</t>
        </is>
      </c>
      <c r="C1047" s="1" t="n">
        <v>1.05</v>
      </c>
      <c r="D1047" s="7" t="n">
        <f>HYPERLINK("https://www.somogyi.sk/product/1-ks-koax-vidlice-1-ks-koax-zasuvky-fs-1819x-2192","https://www.somogyi.sk/product/1-ks-koax-vidlice-1-ks-koax-zasuvky-fs-1819x-2192")</f>
        <v>0.0</v>
      </c>
      <c r="E1047" s="7" t="n">
        <f>HYPERLINK("https://www.somogyi.sk/productimages/product_main_images/small/02192.jpg","https://www.somogyi.sk/productimages/product_main_images/small/02192.jpg")</f>
        <v>0.0</v>
      </c>
      <c r="F1047" s="2" t="inlineStr">
        <is>
          <t>5998312724576</t>
        </is>
      </c>
      <c r="G1047" s="4" t="inlineStr">
        <is>
          <t xml:space="preserve"> • prípojky: koaxiálna vidlica + koaxiálna zásuvka 
 • materiál krytu: plastová 
 • zapojenie: skrutkovateľná 
 • blister: áno</t>
        </is>
      </c>
    </row>
    <row r="1048">
      <c r="A1048" s="3" t="inlineStr">
        <is>
          <t>FST 1X</t>
        </is>
      </c>
      <c r="B1048" s="2" t="inlineStr">
        <is>
          <t>Koaxiálna vidlica, kovová, skrutkovateľná na Koaxiálna, blister</t>
        </is>
      </c>
      <c r="C1048" s="1" t="n">
        <v>1.69</v>
      </c>
      <c r="D1048" s="7" t="n">
        <f>HYPERLINK("https://www.somogyi.sk/product/koaxialna-vidlica-kovova-skrutkovatelna-na-koaxialna-blister-fst-1x-2784","https://www.somogyi.sk/product/koaxialna-vidlica-kovova-skrutkovatelna-na-koaxialna-blister-fst-1x-2784")</f>
        <v>0.0</v>
      </c>
      <c r="E1048" s="7" t="n">
        <f>HYPERLINK("https://www.somogyi.sk/productimages/product_main_images/small/02784.jpg","https://www.somogyi.sk/productimages/product_main_images/small/02784.jpg")</f>
        <v>0.0</v>
      </c>
      <c r="F1048" s="2" t="inlineStr">
        <is>
          <t>5998312731086</t>
        </is>
      </c>
      <c r="G1048" s="4" t="inlineStr">
        <is>
          <t xml:space="preserve"> • prípojky: koaxiálna zásuvka 
 • materiál krytu: kovová 
 • zapojenie: skrutkovateľná na kábel RG 6 
 • blister: áno</t>
        </is>
      </c>
    </row>
    <row r="1049">
      <c r="A1049" s="3" t="inlineStr">
        <is>
          <t>FF 21</t>
        </is>
      </c>
      <c r="B1049" s="2" t="inlineStr">
        <is>
          <t>F vidlica, ku káblu KH3</t>
        </is>
      </c>
      <c r="C1049" s="1" t="n">
        <v>0.45</v>
      </c>
      <c r="D1049" s="7" t="n">
        <f>HYPERLINK("https://www.somogyi.sk/product/f-vidlica-ku-kablu-kh3-ff-21-4844","https://www.somogyi.sk/product/f-vidlica-ku-kablu-kh3-ff-21-4844")</f>
        <v>0.0</v>
      </c>
      <c r="E1049" s="7" t="n">
        <f>HYPERLINK("https://www.somogyi.sk/productimages/product_main_images/small/04844.jpg","https://www.somogyi.sk/productimages/product_main_images/small/04844.jpg")</f>
        <v>0.0</v>
      </c>
      <c r="F1049" s="2" t="inlineStr">
        <is>
          <t>5998312742822</t>
        </is>
      </c>
      <c r="G1049" s="4" t="inlineStr">
        <is>
          <t xml:space="preserve"> • prípojky: F vidlica 
 • materiál krytu: kovová 
 • zapojenie: ku káblu KH 3</t>
        </is>
      </c>
    </row>
    <row r="1050">
      <c r="A1050" s="3" t="inlineStr">
        <is>
          <t>FS 18X</t>
        </is>
      </c>
      <c r="B1050" s="2" t="inlineStr">
        <is>
          <t>Koaxiálna vidlica, blister</t>
        </is>
      </c>
      <c r="C1050" s="1" t="n">
        <v>1.05</v>
      </c>
      <c r="D1050" s="7" t="n">
        <f>HYPERLINK("https://www.somogyi.sk/product/koaxialna-vidlica-blister-fs-18x-2191","https://www.somogyi.sk/product/koaxialna-vidlica-blister-fs-18x-2191")</f>
        <v>0.0</v>
      </c>
      <c r="E1050" s="7" t="n">
        <f>HYPERLINK("https://www.somogyi.sk/productimages/product_main_images/small/02191.jpg","https://www.somogyi.sk/productimages/product_main_images/small/02191.jpg")</f>
        <v>0.0</v>
      </c>
      <c r="F1050" s="2" t="inlineStr">
        <is>
          <t>5998312724569</t>
        </is>
      </c>
      <c r="G1050" s="4" t="inlineStr">
        <is>
          <t xml:space="preserve"> • prípojky: koaxiálna vidlica 
 • materiál krytu: plastová 
 • zapojenie: skrutkovateľná 
 • blister: áno</t>
        </is>
      </c>
    </row>
    <row r="1051">
      <c r="A1051" s="3" t="inlineStr">
        <is>
          <t>TSP 1913X</t>
        </is>
      </c>
      <c r="B1051" s="2" t="inlineStr">
        <is>
          <t>F rozbočovač, 4 pásmový, SAT, blister</t>
        </is>
      </c>
      <c r="C1051" s="1" t="n">
        <v>4.59</v>
      </c>
      <c r="D1051" s="7" t="n">
        <f>HYPERLINK("https://www.somogyi.sk/product/f-rozbocovac-4-pasmovy-sat-blister-tsp-1913x-5507","https://www.somogyi.sk/product/f-rozbocovac-4-pasmovy-sat-blister-tsp-1913x-5507")</f>
        <v>0.0</v>
      </c>
      <c r="E1051" s="7" t="n">
        <f>HYPERLINK("https://www.somogyi.sk/productimages/product_main_images/small/05507.jpg","https://www.somogyi.sk/productimages/product_main_images/small/05507.jpg")</f>
        <v>0.0</v>
      </c>
      <c r="F1051" s="2" t="inlineStr">
        <is>
          <t>5998312748701</t>
        </is>
      </c>
      <c r="G1051" s="4" t="inlineStr">
        <is>
          <t xml:space="preserve"> • prípojky: "F" vstup / 4 x "F" výstup 
 • materiál krytu: kovová 
 • frekvenčné pásmo: 900 - 2400 MHz 
 • blister: áno</t>
        </is>
      </c>
    </row>
    <row r="1052">
      <c r="A1052" s="3" t="inlineStr">
        <is>
          <t>FS 1X</t>
        </is>
      </c>
      <c r="B1052" s="2" t="inlineStr">
        <is>
          <t>Koaxiálna vidlica, lomená, blister</t>
        </is>
      </c>
      <c r="C1052" s="1" t="n">
        <v>1.05</v>
      </c>
      <c r="D1052" s="7" t="n">
        <f>HYPERLINK("https://www.somogyi.sk/product/koaxialna-vidlica-lomena-blister-fs-1x-2193","https://www.somogyi.sk/product/koaxialna-vidlica-lomena-blister-fs-1x-2193")</f>
        <v>0.0</v>
      </c>
      <c r="E1052" s="7" t="n">
        <f>HYPERLINK("https://www.somogyi.sk/productimages/product_main_images/small/02193.jpg","https://www.somogyi.sk/productimages/product_main_images/small/02193.jpg")</f>
        <v>0.0</v>
      </c>
      <c r="F1052" s="2" t="inlineStr">
        <is>
          <t>5998312724583</t>
        </is>
      </c>
      <c r="G1052" s="4" t="inlineStr">
        <is>
          <t xml:space="preserve"> • prípojky: koaxiálna lomená vidlica 
 • materiál krytu: plastová 
 • zapojenie: skrutkovateľná 
 • blister: áno</t>
        </is>
      </c>
    </row>
    <row r="1053">
      <c r="A1053" s="3" t="inlineStr">
        <is>
          <t>FS 14X</t>
        </is>
      </c>
      <c r="B1053" s="2" t="inlineStr">
        <is>
          <t>Koaxiálna vidlica, kovová, blister</t>
        </is>
      </c>
      <c r="C1053" s="1" t="n">
        <v>1.25</v>
      </c>
      <c r="D1053" s="7" t="n">
        <f>HYPERLINK("https://www.somogyi.sk/product/koaxialna-vidlica-kovova-blister-fs-14x-2195","https://www.somogyi.sk/product/koaxialna-vidlica-kovova-blister-fs-14x-2195")</f>
        <v>0.0</v>
      </c>
      <c r="E1053" s="7" t="n">
        <f>HYPERLINK("https://www.somogyi.sk/productimages/product_main_images/small/02195.jpg","https://www.somogyi.sk/productimages/product_main_images/small/02195.jpg")</f>
        <v>0.0</v>
      </c>
      <c r="F1053" s="2" t="inlineStr">
        <is>
          <t>5998312724606</t>
        </is>
      </c>
      <c r="G1053" s="4" t="inlineStr">
        <is>
          <t xml:space="preserve"> • prípojky: koaxiálna vidlica 
 • materiál krytu: kovová 
 • zapojenie: skrutkovateľná 
 • blister: áno</t>
        </is>
      </c>
    </row>
    <row r="1054">
      <c r="A1054" s="3" t="inlineStr">
        <is>
          <t>FF 1X</t>
        </is>
      </c>
      <c r="B1054" s="2" t="inlineStr">
        <is>
          <t>F vidlica, ku káblu RG 6, blister</t>
        </is>
      </c>
      <c r="C1054" s="1" t="n">
        <v>0.75</v>
      </c>
      <c r="D1054" s="7" t="n">
        <f>HYPERLINK("https://www.somogyi.sk/product/f-vidlica-ku-kablu-rg-6-blister-ff-1x-2177","https://www.somogyi.sk/product/f-vidlica-ku-kablu-rg-6-blister-ff-1x-2177")</f>
        <v>0.0</v>
      </c>
      <c r="E1054" s="7" t="n">
        <f>HYPERLINK("https://www.somogyi.sk/productimages/product_main_images/small/02177.jpg","https://www.somogyi.sk/productimages/product_main_images/small/02177.jpg")</f>
        <v>0.0</v>
      </c>
      <c r="F1054" s="2" t="inlineStr">
        <is>
          <t>5998312724422</t>
        </is>
      </c>
      <c r="G1054" s="4" t="inlineStr">
        <is>
          <t xml:space="preserve"> • prípojky: F vidlica 
 • materiál krytu: kovová 
 • zapojenie: skrutkovateľná (ku RG 6) 
 • blister: áno</t>
        </is>
      </c>
    </row>
    <row r="1055">
      <c r="A1055" s="3" t="inlineStr">
        <is>
          <t>TS 1910X</t>
        </is>
      </c>
      <c r="B1055" s="2" t="inlineStr">
        <is>
          <t>F rozbočovač, 2 pásmový, blister</t>
        </is>
      </c>
      <c r="C1055" s="1" t="n">
        <v>1.09</v>
      </c>
      <c r="D1055" s="7" t="n">
        <f>HYPERLINK("https://www.somogyi.sk/product/f-rozbocovac-2-pasmovy-blister-ts-1910x-2186","https://www.somogyi.sk/product/f-rozbocovac-2-pasmovy-blister-ts-1910x-2186")</f>
        <v>0.0</v>
      </c>
      <c r="E1055" s="7" t="n">
        <f>HYPERLINK("https://www.somogyi.sk/productimages/product_main_images/small/02186.jpg","https://www.somogyi.sk/productimages/product_main_images/small/02186.jpg")</f>
        <v>0.0</v>
      </c>
      <c r="F1055" s="2" t="inlineStr">
        <is>
          <t>5998312724514</t>
        </is>
      </c>
      <c r="G1055" s="4" t="inlineStr">
        <is>
          <t xml:space="preserve"> • prípojky: "F" vstup / 2 x "F" výstup 
 • materiál krytu: kovová 
 • frekvenčné pásmo: 5 - 900 MHz 
 • blister: áno</t>
        </is>
      </c>
    </row>
    <row r="1056">
      <c r="A1056" s="3" t="inlineStr">
        <is>
          <t>FF 18P</t>
        </is>
      </c>
      <c r="B1056" s="2" t="inlineStr">
        <is>
          <t>Koaxiálna vidlica - F zásuvka, lomená</t>
        </is>
      </c>
      <c r="C1056" s="1" t="n">
        <v>1.49</v>
      </c>
      <c r="D1056" s="7" t="n">
        <f>HYPERLINK("https://www.somogyi.sk/product/koaxialna-vidlica-f-zasuvka-lomena-ff-18p-17974","https://www.somogyi.sk/product/koaxialna-vidlica-f-zasuvka-lomena-ff-18p-17974")</f>
        <v>0.0</v>
      </c>
      <c r="E1056" s="7" t="n">
        <f>HYPERLINK("https://www.somogyi.sk/productimages/product_main_images/small/17974.jpg","https://www.somogyi.sk/productimages/product_main_images/small/17974.jpg")</f>
        <v>0.0</v>
      </c>
      <c r="F1056" s="2" t="inlineStr">
        <is>
          <t>5999084959968</t>
        </is>
      </c>
      <c r="G1056" s="4" t="inlineStr">
        <is>
          <t xml:space="preserve"> • prípojky: koax vidlica / F zásuvka 
 • materiál krytu: kovový</t>
        </is>
      </c>
    </row>
    <row r="1057">
      <c r="A1057" s="3" t="inlineStr">
        <is>
          <t>F 803C</t>
        </is>
      </c>
      <c r="B1057" s="2" t="inlineStr">
        <is>
          <t>F vidlica, lisovacia</t>
        </is>
      </c>
      <c r="C1057" s="1" t="n">
        <v>0.49</v>
      </c>
      <c r="D1057" s="7" t="n">
        <f>HYPERLINK("https://www.somogyi.sk/product/f-vidlica-lisovacia-f-803c-2992","https://www.somogyi.sk/product/f-vidlica-lisovacia-f-803c-2992")</f>
        <v>0.0</v>
      </c>
      <c r="E1057" s="7" t="n">
        <f>HYPERLINK("https://www.somogyi.sk/productimages/product_main_images/small/02992.jpg","https://www.somogyi.sk/productimages/product_main_images/small/02992.jpg")</f>
        <v>0.0</v>
      </c>
      <c r="F1057" s="2" t="inlineStr">
        <is>
          <t>5998312733165</t>
        </is>
      </c>
      <c r="G1057" s="4" t="inlineStr">
        <is>
          <t xml:space="preserve"> • prípojky: F vidlica 
 • materiál krytu: kovová 
 • zapojenie: na lisovanie (ku káblom S 6TSV)</t>
        </is>
      </c>
    </row>
    <row r="1058">
      <c r="A1058" s="3" t="inlineStr">
        <is>
          <t>TS 1913X</t>
        </is>
      </c>
      <c r="B1058" s="2" t="inlineStr">
        <is>
          <t>F rozbočovač, 4 pásmový, blister</t>
        </is>
      </c>
      <c r="C1058" s="1" t="n">
        <v>1.89</v>
      </c>
      <c r="D1058" s="7" t="n">
        <f>HYPERLINK("https://www.somogyi.sk/product/f-rozbocovac-4-pasmovy-blister-ts-1913x-2188","https://www.somogyi.sk/product/f-rozbocovac-4-pasmovy-blister-ts-1913x-2188")</f>
        <v>0.0</v>
      </c>
      <c r="E1058" s="7" t="n">
        <f>HYPERLINK("https://www.somogyi.sk/productimages/product_main_images/small/02188.jpg","https://www.somogyi.sk/productimages/product_main_images/small/02188.jpg")</f>
        <v>0.0</v>
      </c>
      <c r="F1058" s="2" t="inlineStr">
        <is>
          <t>5998312724538</t>
        </is>
      </c>
      <c r="G1058" s="4" t="inlineStr">
        <is>
          <t xml:space="preserve"> • prípojky: "F" vstup/ 4 x "F" výstup 
 • materiál krytu: kovová 
 • frekvenčné pásmo: 5 - 900 MHz 
 • blister: áno</t>
        </is>
      </c>
    </row>
    <row r="1059">
      <c r="A1059" s="3" t="inlineStr">
        <is>
          <t>FS 1</t>
        </is>
      </c>
      <c r="B1059" s="2" t="inlineStr">
        <is>
          <t>Koaxiálna vidlica, uhlová</t>
        </is>
      </c>
      <c r="C1059" s="1" t="n">
        <v>0.34</v>
      </c>
      <c r="D1059" s="7" t="n">
        <f>HYPERLINK("https://www.somogyi.sk/product/koaxialna-vidlica-uhlova-fs-1-1771","https://www.somogyi.sk/product/koaxialna-vidlica-uhlova-fs-1-1771")</f>
        <v>0.0</v>
      </c>
      <c r="E1059" s="7" t="n">
        <f>HYPERLINK("https://www.somogyi.sk/productimages/product_main_images/small/01771.jpg","https://www.somogyi.sk/productimages/product_main_images/small/01771.jpg")</f>
        <v>0.0</v>
      </c>
      <c r="F1059" s="2" t="inlineStr">
        <is>
          <t>5998312702338</t>
        </is>
      </c>
      <c r="G1059" s="4" t="inlineStr">
        <is>
          <t xml:space="preserve"> • prípojky: koaxiálna vidlica, lomená 
 • materiál krytu: plastová 
 • zapojenie: skrutkovateľná</t>
        </is>
      </c>
    </row>
    <row r="1060">
      <c r="A1060" s="3" t="inlineStr">
        <is>
          <t>FF 113X</t>
        </is>
      </c>
      <c r="B1060" s="2" t="inlineStr">
        <is>
          <t>2 ks F vidlica + 1 ks F spojka</t>
        </is>
      </c>
      <c r="C1060" s="1" t="n">
        <v>0.95</v>
      </c>
      <c r="D1060" s="7" t="n">
        <f>HYPERLINK("https://www.somogyi.sk/product/2-ks-f-vidlica-1-ks-f-spojka-ff-113x-2437","https://www.somogyi.sk/product/2-ks-f-vidlica-1-ks-f-spojka-ff-113x-2437")</f>
        <v>0.0</v>
      </c>
      <c r="E1060" s="7" t="n">
        <f>HYPERLINK("https://www.somogyi.sk/productimages/product_main_images/small/02437.jpg","https://www.somogyi.sk/productimages/product_main_images/small/02437.jpg")</f>
        <v>0.0</v>
      </c>
      <c r="F1060" s="2" t="inlineStr">
        <is>
          <t>5998312727461</t>
        </is>
      </c>
      <c r="G1060" s="4" t="inlineStr">
        <is>
          <t xml:space="preserve"> • prípojky: 2 x F vidlica + F spojka (zásuvka) 
 • materiál krytu: kovová 
 • zapojenie: skrutkovateľná (ku RG 6) 
 • blister: áno</t>
        </is>
      </c>
    </row>
    <row r="1061">
      <c r="A1061" s="3" t="inlineStr">
        <is>
          <t>FF 1/PRO</t>
        </is>
      </c>
      <c r="B1061" s="2" t="inlineStr">
        <is>
          <t>F vidlica, ku káblu RG 6</t>
        </is>
      </c>
      <c r="C1061" s="1" t="n">
        <v>0.35</v>
      </c>
      <c r="D1061" s="7" t="n">
        <f>HYPERLINK("https://www.somogyi.sk/product/f-vidlica-ku-kablu-rg-6-ff-1-pro-7434","https://www.somogyi.sk/product/f-vidlica-ku-kablu-rg-6-ff-1-pro-7434")</f>
        <v>0.0</v>
      </c>
      <c r="E1061" s="7" t="n">
        <f>HYPERLINK("https://www.somogyi.sk/productimages/product_main_images/small/07434.jpg","https://www.somogyi.sk/productimages/product_main_images/small/07434.jpg")</f>
        <v>0.0</v>
      </c>
      <c r="F1061" s="2" t="inlineStr">
        <is>
          <t>5998312764220</t>
        </is>
      </c>
      <c r="G1061" s="4" t="inlineStr">
        <is>
          <t xml:space="preserve"> • prípojky: F vidlica 
 • materiál krytu: kovová 
 • zapojenie: ku káblu RG 6</t>
        </is>
      </c>
    </row>
    <row r="1062">
      <c r="A1062" s="3" t="inlineStr">
        <is>
          <t>FST 1</t>
        </is>
      </c>
      <c r="B1062" s="2" t="inlineStr">
        <is>
          <t>Koaxiálna vidlica, kovová, skrutkovateľná na koax.</t>
        </is>
      </c>
      <c r="C1062" s="1" t="n">
        <v>1.39</v>
      </c>
      <c r="D1062" s="7" t="n">
        <f>HYPERLINK("https://www.somogyi.sk/product/koaxialna-vidlica-kovova-skrutkovatelna-na-koax-fst-1-2380","https://www.somogyi.sk/product/koaxialna-vidlica-kovova-skrutkovatelna-na-koax-fst-1-2380")</f>
        <v>0.0</v>
      </c>
      <c r="E1062" s="7" t="n">
        <f>HYPERLINK("https://www.somogyi.sk/productimages/product_main_images/small/02380.jpg","https://www.somogyi.sk/productimages/product_main_images/small/02380.jpg")</f>
        <v>0.0</v>
      </c>
      <c r="F1062" s="2" t="inlineStr">
        <is>
          <t>5998312726877</t>
        </is>
      </c>
      <c r="G1062" s="4" t="inlineStr">
        <is>
          <t xml:space="preserve"> • prípojky: koaxiálna zásuvka 
 • materiál krytu: kovová 
 • zapojenie: ku koaxiálnemu káblu RG 6</t>
        </is>
      </c>
    </row>
    <row r="1063">
      <c r="A1063" s="3" t="inlineStr">
        <is>
          <t>FS 2X</t>
        </is>
      </c>
      <c r="B1063" s="2" t="inlineStr">
        <is>
          <t>Koaxiálna zásuvka, lomená, blister</t>
        </is>
      </c>
      <c r="C1063" s="1" t="n">
        <v>1.05</v>
      </c>
      <c r="D1063" s="7" t="n">
        <f>HYPERLINK("https://www.somogyi.sk/product/koaxialna-zasuvka-lomena-blister-fs-2x-2439","https://www.somogyi.sk/product/koaxialna-zasuvka-lomena-blister-fs-2x-2439")</f>
        <v>0.0</v>
      </c>
      <c r="E1063" s="7" t="n">
        <f>HYPERLINK("https://www.somogyi.sk/productimages/product_main_images/small/02439.jpg","https://www.somogyi.sk/productimages/product_main_images/small/02439.jpg")</f>
        <v>0.0</v>
      </c>
      <c r="F1063" s="2" t="inlineStr">
        <is>
          <t>5998312727485</t>
        </is>
      </c>
      <c r="G1063" s="4" t="inlineStr">
        <is>
          <t xml:space="preserve"> • prípojky: koaxiálna lomená zásuvka 
 • materiál krytu: plastová 
 • zapojenie: skrutkovateľná 
 • blister: áno</t>
        </is>
      </c>
    </row>
    <row r="1064">
      <c r="A1064" s="3" t="inlineStr">
        <is>
          <t>FS 14</t>
        </is>
      </c>
      <c r="B1064" s="2" t="inlineStr">
        <is>
          <t>Koaxiálna vidlica, kovová</t>
        </is>
      </c>
      <c r="C1064" s="1" t="n">
        <v>0.99</v>
      </c>
      <c r="D1064" s="7" t="n">
        <f>HYPERLINK("https://www.somogyi.sk/product/koaxialna-vidlica-kovova-fs-14-1772","https://www.somogyi.sk/product/koaxialna-vidlica-kovova-fs-14-1772")</f>
        <v>0.0</v>
      </c>
      <c r="E1064" s="7" t="n">
        <f>HYPERLINK("https://www.somogyi.sk/productimages/product_main_images/small/01772.jpg","https://www.somogyi.sk/productimages/product_main_images/small/01772.jpg")</f>
        <v>0.0</v>
      </c>
      <c r="F1064" s="2" t="inlineStr">
        <is>
          <t>5998312702345</t>
        </is>
      </c>
      <c r="G1064" s="4" t="inlineStr">
        <is>
          <t xml:space="preserve"> • prípojky: koaxiálna vidlica 
 • materiál krytu: kovová 
 • zapojenie: skrutkovateľná</t>
        </is>
      </c>
    </row>
    <row r="1065">
      <c r="A1065" s="3" t="inlineStr">
        <is>
          <t>TS 1911</t>
        </is>
      </c>
      <c r="B1065" s="2" t="inlineStr">
        <is>
          <t>F rozbočovač, 3 pásmový</t>
        </is>
      </c>
      <c r="C1065" s="1" t="n">
        <v>0.75</v>
      </c>
      <c r="D1065" s="7" t="n">
        <f>HYPERLINK("https://www.somogyi.sk/product/f-rozbocovac-3-pasmovy-ts-1911-1935","https://www.somogyi.sk/product/f-rozbocovac-3-pasmovy-ts-1911-1935")</f>
        <v>0.0</v>
      </c>
      <c r="E1065" s="7" t="n">
        <f>HYPERLINK("https://www.somogyi.sk/productimages/product_main_images/small/01935.jpg","https://www.somogyi.sk/productimages/product_main_images/small/01935.jpg")</f>
        <v>0.0</v>
      </c>
      <c r="F1065" s="2" t="inlineStr">
        <is>
          <t>5998312705384</t>
        </is>
      </c>
      <c r="G1065" s="4" t="inlineStr">
        <is>
          <t xml:space="preserve"> • prípojky: "F" vstup / 3 x "F" výstup 
 • materiál krytu: kovová 
 • frekvenčné pásmo: 5 - 900 MHz</t>
        </is>
      </c>
    </row>
    <row r="1066">
      <c r="A1066" s="3" t="inlineStr">
        <is>
          <t>FS 19</t>
        </is>
      </c>
      <c r="B1066" s="2" t="inlineStr">
        <is>
          <t>Koaxiálna zásuvka</t>
        </is>
      </c>
      <c r="C1066" s="1" t="n">
        <v>0.34</v>
      </c>
      <c r="D1066" s="7" t="n">
        <f>HYPERLINK("https://www.somogyi.sk/product/koaxialna-zasuvka-fs-19-1774","https://www.somogyi.sk/product/koaxialna-zasuvka-fs-19-1774")</f>
        <v>0.0</v>
      </c>
      <c r="E1066" s="7" t="n">
        <f>HYPERLINK("https://www.somogyi.sk/productimages/product_main_images/small/01774.jpg","https://www.somogyi.sk/productimages/product_main_images/small/01774.jpg")</f>
        <v>0.0</v>
      </c>
      <c r="F1066" s="2" t="inlineStr">
        <is>
          <t>5998312702369</t>
        </is>
      </c>
      <c r="G1066" s="4" t="inlineStr">
        <is>
          <t xml:space="preserve"> • prípojky: koaxiálna zásuvka 
 • materiál krytu: plastová 
 • zapojenie: skrutkovateľná</t>
        </is>
      </c>
    </row>
    <row r="1067">
      <c r="A1067" s="3" t="inlineStr">
        <is>
          <t>TS 1910</t>
        </is>
      </c>
      <c r="B1067" s="2" t="inlineStr">
        <is>
          <t>F rozbočovač, 2 pásmový</t>
        </is>
      </c>
      <c r="C1067" s="1" t="n">
        <v>0.85</v>
      </c>
      <c r="D1067" s="7" t="n">
        <f>HYPERLINK("https://www.somogyi.sk/product/f-rozbocovac-2-pasmovy-ts-1910-1934","https://www.somogyi.sk/product/f-rozbocovac-2-pasmovy-ts-1910-1934")</f>
        <v>0.0</v>
      </c>
      <c r="E1067" s="7" t="n">
        <f>HYPERLINK("https://www.somogyi.sk/productimages/product_main_images/small/01934.jpg","https://www.somogyi.sk/productimages/product_main_images/small/01934.jpg")</f>
        <v>0.0</v>
      </c>
      <c r="F1067" s="2" t="inlineStr">
        <is>
          <t>5998312705377</t>
        </is>
      </c>
      <c r="G1067" s="4" t="inlineStr">
        <is>
          <t xml:space="preserve"> • prípojky: "F" vstup / 2 x "F" výstup 
 • materiál krytu: kovová 
 • frekvenčné pásmo: 5 - 900 MHz</t>
        </is>
      </c>
    </row>
    <row r="1068">
      <c r="A1068" s="3" t="inlineStr">
        <is>
          <t>FS 2</t>
        </is>
      </c>
      <c r="B1068" s="2" t="inlineStr">
        <is>
          <t>Koaxiálna zásuvka, uhlová</t>
        </is>
      </c>
      <c r="C1068" s="1" t="n">
        <v>0.34</v>
      </c>
      <c r="D1068" s="7" t="n">
        <f>HYPERLINK("https://www.somogyi.sk/product/koaxialna-zasuvka-uhlova-fs-2-1776","https://www.somogyi.sk/product/koaxialna-zasuvka-uhlova-fs-2-1776")</f>
        <v>0.0</v>
      </c>
      <c r="E1068" s="7" t="n">
        <f>HYPERLINK("https://www.somogyi.sk/productimages/product_main_images/small/01776.jpg","https://www.somogyi.sk/productimages/product_main_images/small/01776.jpg")</f>
        <v>0.0</v>
      </c>
      <c r="F1068" s="2" t="inlineStr">
        <is>
          <t>5998312702383</t>
        </is>
      </c>
      <c r="G1068" s="4" t="inlineStr">
        <is>
          <t xml:space="preserve"> • prípojky: koaxiálna zásuvka, lomená 
 • materiál krytu: plastová 
 • zapojenie: skrutkovateľná</t>
        </is>
      </c>
    </row>
    <row r="1069">
      <c r="A1069" s="3" t="inlineStr">
        <is>
          <t>FS 27</t>
        </is>
      </c>
      <c r="B1069" s="2" t="inlineStr">
        <is>
          <t>Koaxiálny rozbočovač, 1 zásuvka-2 vidlica, kovová</t>
        </is>
      </c>
      <c r="C1069" s="1" t="n">
        <v>1.79</v>
      </c>
      <c r="D1069" s="7" t="n">
        <f>HYPERLINK("https://www.somogyi.sk/product/koaxialny-rozbocovac-1-zasuvka-2-vidlica-kovova-fs-27-1779","https://www.somogyi.sk/product/koaxialny-rozbocovac-1-zasuvka-2-vidlica-kovova-fs-27-1779")</f>
        <v>0.0</v>
      </c>
      <c r="E1069" s="7" t="n">
        <f>HYPERLINK("https://www.somogyi.sk/productimages/product_main_images/small/01779.jpg","https://www.somogyi.sk/productimages/product_main_images/small/01779.jpg")</f>
        <v>0.0</v>
      </c>
      <c r="F1069" s="2" t="inlineStr">
        <is>
          <t>5998312702413</t>
        </is>
      </c>
      <c r="G1069" s="4" t="inlineStr">
        <is>
          <t xml:space="preserve"> • prípojky: 2 x koaxiálna vidlica / koaxiálna zásuvka 
 • materiál krytu: kovová</t>
        </is>
      </c>
    </row>
    <row r="1070">
      <c r="A1070" s="3" t="inlineStr">
        <is>
          <t>TSX 1913</t>
        </is>
      </c>
      <c r="B1070" s="2" t="inlineStr">
        <is>
          <t>4-pásmový F rozbočovač, HQ</t>
        </is>
      </c>
      <c r="C1070" s="1" t="n">
        <v>6.59</v>
      </c>
      <c r="D1070" s="7" t="n">
        <f>HYPERLINK("https://www.somogyi.sk/product/4-pasmovy-f-rozbocovac-hq-tsx-1913-17977","https://www.somogyi.sk/product/4-pasmovy-f-rozbocovac-hq-tsx-1913-17977")</f>
        <v>0.0</v>
      </c>
      <c r="E1070" s="7" t="n">
        <f>HYPERLINK("https://www.somogyi.sk/productimages/product_main_images/small/17977.jpg","https://www.somogyi.sk/productimages/product_main_images/small/17977.jpg")</f>
        <v>0.0</v>
      </c>
      <c r="F1070" s="2" t="inlineStr">
        <is>
          <t>5999084959999</t>
        </is>
      </c>
      <c r="G1070" s="4" t="inlineStr">
        <is>
          <t xml:space="preserve"> • prípojky: "F" vstup / 4 x "F" výstup 
 • materiál krytu: kovový 
 • frekvenčné pásmo: 5-2400 MHz</t>
        </is>
      </c>
    </row>
    <row r="1071">
      <c r="A1071" s="3" t="inlineStr">
        <is>
          <t>TSX 1911</t>
        </is>
      </c>
      <c r="B1071" s="2" t="inlineStr">
        <is>
          <t>3-pásmový F rozbočovač, HQ</t>
        </is>
      </c>
      <c r="C1071" s="1" t="n">
        <v>5.79</v>
      </c>
      <c r="D1071" s="7" t="n">
        <f>HYPERLINK("https://www.somogyi.sk/product/3-pasmovy-f-rozbocovac-hq-tsx-1911-17976","https://www.somogyi.sk/product/3-pasmovy-f-rozbocovac-hq-tsx-1911-17976")</f>
        <v>0.0</v>
      </c>
      <c r="E1071" s="7" t="n">
        <f>HYPERLINK("https://www.somogyi.sk/productimages/product_main_images/small/17976.jpg","https://www.somogyi.sk/productimages/product_main_images/small/17976.jpg")</f>
        <v>0.0</v>
      </c>
      <c r="F1071" s="2" t="inlineStr">
        <is>
          <t>5999084959982</t>
        </is>
      </c>
      <c r="G1071" s="4" t="inlineStr">
        <is>
          <t xml:space="preserve"> • prípojky: "F" vstup / 3 x "F" výstup 
 • materiál krytu: kovový 
 • frekvenčné pásmo: 5-2400 MHz</t>
        </is>
      </c>
    </row>
    <row r="1072">
      <c r="A1072" s="3" t="inlineStr">
        <is>
          <t>TSX 1910</t>
        </is>
      </c>
      <c r="B1072" s="2" t="inlineStr">
        <is>
          <t>2-pásmový F rozbočovač, HQ</t>
        </is>
      </c>
      <c r="C1072" s="1" t="n">
        <v>4.69</v>
      </c>
      <c r="D1072" s="7" t="n">
        <f>HYPERLINK("https://www.somogyi.sk/product/2-pasmovy-f-rozbocovac-hq-tsx-1910-17975","https://www.somogyi.sk/product/2-pasmovy-f-rozbocovac-hq-tsx-1910-17975")</f>
        <v>0.0</v>
      </c>
      <c r="E1072" s="7" t="n">
        <f>HYPERLINK("https://www.somogyi.sk/productimages/product_main_images/small/17975.jpg","https://www.somogyi.sk/productimages/product_main_images/small/17975.jpg")</f>
        <v>0.0</v>
      </c>
      <c r="F1072" s="2" t="inlineStr">
        <is>
          <t>5999084959975</t>
        </is>
      </c>
      <c r="G1072" s="4" t="inlineStr">
        <is>
          <t xml:space="preserve"> • prípojky: "F" vstup / 2 x "F" výstup 
 • materiál krytu: kovový 
 • frekvenčné pásmo: 5-2400 MHz</t>
        </is>
      </c>
    </row>
    <row r="1073">
      <c r="A1073" s="3" t="inlineStr">
        <is>
          <t>TSP 1911</t>
        </is>
      </c>
      <c r="B1073" s="2" t="inlineStr">
        <is>
          <t>F rozbočovač, 3 pásmový</t>
        </is>
      </c>
      <c r="C1073" s="1" t="n">
        <v>3.79</v>
      </c>
      <c r="D1073" s="7" t="n">
        <f>HYPERLINK("https://www.somogyi.sk/product/f-rozbocovac-3-pasmovy-tsp-1911-5139","https://www.somogyi.sk/product/f-rozbocovac-3-pasmovy-tsp-1911-5139")</f>
        <v>0.0</v>
      </c>
      <c r="E1073" s="7" t="n">
        <f>HYPERLINK("https://www.somogyi.sk/productimages/product_main_images/small/05139.jpg","https://www.somogyi.sk/productimages/product_main_images/small/05139.jpg")</f>
        <v>0.0</v>
      </c>
      <c r="F1073" s="2" t="inlineStr">
        <is>
          <t>5998312745274</t>
        </is>
      </c>
      <c r="G1073" s="4" t="inlineStr">
        <is>
          <t xml:space="preserve"> • prípojky: "F" vstup / 3 x "F" výstup 
 • materiál krytu: kovová 
 • frekvenčné pásmo: 900 - 2400 MHz</t>
        </is>
      </c>
    </row>
    <row r="1074">
      <c r="A1074" s="3" t="inlineStr">
        <is>
          <t>FS 27X</t>
        </is>
      </c>
      <c r="B1074" s="2" t="inlineStr">
        <is>
          <t>Koaxiálny rozbočovač, 1 zásuvka-2 vidlice, kovová, blister</t>
        </is>
      </c>
      <c r="C1074" s="1" t="n">
        <v>2.29</v>
      </c>
      <c r="D1074" s="7" t="n">
        <f>HYPERLINK("https://www.somogyi.sk/product/koaxialny-rozbocovac-1-zasuvka-2-vidlice-kovova-blister-fs-27x-2204","https://www.somogyi.sk/product/koaxialny-rozbocovac-1-zasuvka-2-vidlice-kovova-blister-fs-27x-2204")</f>
        <v>0.0</v>
      </c>
      <c r="E1074" s="7" t="n">
        <f>HYPERLINK("https://www.somogyi.sk/productimages/product_main_images/small/02204.jpg","https://www.somogyi.sk/productimages/product_main_images/small/02204.jpg")</f>
        <v>0.0</v>
      </c>
      <c r="F1074" s="2" t="inlineStr">
        <is>
          <t>5998312724699</t>
        </is>
      </c>
      <c r="G1074" s="4" t="inlineStr">
        <is>
          <t xml:space="preserve"> • prípojky: 2 x koaxiálna vidlica / koaxiálna zásuvka 
 • materiál krytu: kovová 
 • blister: áno</t>
        </is>
      </c>
    </row>
    <row r="1075">
      <c r="A1075" s="3" t="inlineStr">
        <is>
          <t>FST 2X</t>
        </is>
      </c>
      <c r="B1075" s="2" t="inlineStr">
        <is>
          <t>Koaxiálna zásuvka, kovová, skrutkovateľná na Koaxiálna, blister</t>
        </is>
      </c>
      <c r="C1075" s="1" t="n">
        <v>1.69</v>
      </c>
      <c r="D1075" s="7" t="n">
        <f>HYPERLINK("https://www.somogyi.sk/product/koaxialna-zasuvka-kovova-skrutkovatelna-na-koaxialna-blister-fst-2x-2785","https://www.somogyi.sk/product/koaxialna-zasuvka-kovova-skrutkovatelna-na-koaxialna-blister-fst-2x-2785")</f>
        <v>0.0</v>
      </c>
      <c r="E1075" s="7" t="n">
        <f>HYPERLINK("https://www.somogyi.sk/productimages/product_main_images/small/02785.jpg","https://www.somogyi.sk/productimages/product_main_images/small/02785.jpg")</f>
        <v>0.0</v>
      </c>
      <c r="F1075" s="2" t="inlineStr">
        <is>
          <t>5998312731093</t>
        </is>
      </c>
      <c r="G1075" s="4" t="inlineStr">
        <is>
          <t xml:space="preserve"> • prípojky: koaxiálna zásuvka 
 • materiál krytu: kovová 
 • zapojenie: skrutkovateľná (ku RG 6) 
 • blister: áno</t>
        </is>
      </c>
    </row>
    <row r="1076">
      <c r="A1076" s="3" t="inlineStr">
        <is>
          <t>FS 28X</t>
        </is>
      </c>
      <c r="B1076" s="2" t="inlineStr">
        <is>
          <t>Koaxiálny rozbočovač, 1 vidlica-2 zásuvka, kovová, blister</t>
        </is>
      </c>
      <c r="C1076" s="1" t="n">
        <v>2.29</v>
      </c>
      <c r="D1076" s="7" t="n">
        <f>HYPERLINK("https://www.somogyi.sk/product/koaxialny-rozbocovac-1-vidlica-2-zasuvka-kovova-blister-fs-28x-2205","https://www.somogyi.sk/product/koaxialny-rozbocovac-1-vidlica-2-zasuvka-kovova-blister-fs-28x-2205")</f>
        <v>0.0</v>
      </c>
      <c r="E1076" s="7" t="n">
        <f>HYPERLINK("https://www.somogyi.sk/productimages/product_main_images/small/02205.jpg","https://www.somogyi.sk/productimages/product_main_images/small/02205.jpg")</f>
        <v>0.0</v>
      </c>
      <c r="F1076" s="2" t="inlineStr">
        <is>
          <t>5998312724705</t>
        </is>
      </c>
      <c r="G1076" s="4" t="inlineStr">
        <is>
          <t xml:space="preserve"> • prípojky: koaxiálna vidlica / 2 x koaxiálna zásuvka 
 • materiál krytu: kovová 
 • blister: áno</t>
        </is>
      </c>
    </row>
    <row r="1077">
      <c r="A1077" s="3" t="inlineStr">
        <is>
          <t>FF 13</t>
        </is>
      </c>
      <c r="B1077" s="2" t="inlineStr">
        <is>
          <t>F spojka, zásuvka-zásuvka</t>
        </is>
      </c>
      <c r="C1077" s="1" t="n">
        <v>0.39</v>
      </c>
      <c r="D1077" s="7" t="n">
        <f>HYPERLINK("https://www.somogyi.sk/product/f-spojka-zasuvka-zasuvka-ff-13-1982","https://www.somogyi.sk/product/f-spojka-zasuvka-zasuvka-ff-13-1982")</f>
        <v>0.0</v>
      </c>
      <c r="E1077" s="7" t="n">
        <f>HYPERLINK("https://www.somogyi.sk/productimages/product_main_images/small/01982.jpg","https://www.somogyi.sk/productimages/product_main_images/small/01982.jpg")</f>
        <v>0.0</v>
      </c>
      <c r="F1077" s="2" t="inlineStr">
        <is>
          <t>5998312711804</t>
        </is>
      </c>
      <c r="G1077" s="4" t="inlineStr">
        <is>
          <t xml:space="preserve"> • prípojky: F spojka (zásuvka / zásuvka) 
 • materiál krytu: kovová</t>
        </is>
      </c>
    </row>
    <row r="1078">
      <c r="A1078" s="3" t="inlineStr">
        <is>
          <t>FS 19X</t>
        </is>
      </c>
      <c r="B1078" s="2" t="inlineStr">
        <is>
          <t>Koaxiálna zásuvka, blister</t>
        </is>
      </c>
      <c r="C1078" s="1" t="n">
        <v>1.05</v>
      </c>
      <c r="D1078" s="7" t="n">
        <f>HYPERLINK("https://www.somogyi.sk/product/koaxialna-zasuvka-blister-fs-19x-2438","https://www.somogyi.sk/product/koaxialna-zasuvka-blister-fs-19x-2438")</f>
        <v>0.0</v>
      </c>
      <c r="E1078" s="7" t="n">
        <f>HYPERLINK("https://www.somogyi.sk/productimages/product_main_images/small/02438.jpg","https://www.somogyi.sk/productimages/product_main_images/small/02438.jpg")</f>
        <v>0.0</v>
      </c>
      <c r="F1078" s="2" t="inlineStr">
        <is>
          <t>5998312727478</t>
        </is>
      </c>
      <c r="G1078" s="4" t="inlineStr">
        <is>
          <t xml:space="preserve"> • prípojky: koaxiálna zásuvka 
 • materiál krytu: plastová 
 • zapojenie: skrutkovateľná 
 • blister: áno</t>
        </is>
      </c>
    </row>
    <row r="1079">
      <c r="A1079" s="3" t="inlineStr">
        <is>
          <t>FF 1</t>
        </is>
      </c>
      <c r="B1079" s="2" t="inlineStr">
        <is>
          <t>F vidlica, ku káblu RG 6</t>
        </is>
      </c>
      <c r="C1079" s="1" t="n">
        <v>0.22</v>
      </c>
      <c r="D1079" s="7" t="n">
        <f>HYPERLINK("https://www.somogyi.sk/product/f-vidlica-ku-kablu-rg-6-ff-1-1980","https://www.somogyi.sk/product/f-vidlica-ku-kablu-rg-6-ff-1-1980")</f>
        <v>0.0</v>
      </c>
      <c r="E1079" s="7" t="n">
        <f>HYPERLINK("https://www.somogyi.sk/productimages/product_main_images/small/01980.jpg","https://www.somogyi.sk/productimages/product_main_images/small/01980.jpg")</f>
        <v>0.0</v>
      </c>
      <c r="F1079" s="2" t="inlineStr">
        <is>
          <t>5998312711774</t>
        </is>
      </c>
      <c r="G1079" s="4" t="inlineStr">
        <is>
          <t xml:space="preserve"> • prípojky: F vidlica 
 • materiál krytu: kovová 
 • zapojenie: ku káblu RG 6</t>
        </is>
      </c>
    </row>
    <row r="1080">
      <c r="A1080" s="3" t="inlineStr">
        <is>
          <t>TS 1913</t>
        </is>
      </c>
      <c r="B1080" s="2" t="inlineStr">
        <is>
          <t>F rozbočovač, 4 pásmový</t>
        </is>
      </c>
      <c r="C1080" s="1" t="n">
        <v>1.49</v>
      </c>
      <c r="D1080" s="7" t="n">
        <f>HYPERLINK("https://www.somogyi.sk/product/f-rozbocovac-4-pasmovy-ts-1913-1936","https://www.somogyi.sk/product/f-rozbocovac-4-pasmovy-ts-1913-1936")</f>
        <v>0.0</v>
      </c>
      <c r="E1080" s="7" t="n">
        <f>HYPERLINK("https://www.somogyi.sk/productimages/product_main_images/small/01936.jpg","https://www.somogyi.sk/productimages/product_main_images/small/01936.jpg")</f>
        <v>0.0</v>
      </c>
      <c r="F1080" s="2" t="inlineStr">
        <is>
          <t>5998312705391</t>
        </is>
      </c>
      <c r="G1080" s="4" t="inlineStr">
        <is>
          <t xml:space="preserve"> • prípojky: "F" vstup / 4 x "F" výstup 
 • materiál krytu: kovová 
 • frekvenčné pásmo: 5 - 900 MHz</t>
        </is>
      </c>
    </row>
    <row r="1081">
      <c r="A1081" s="3" t="inlineStr">
        <is>
          <t>FS 15X</t>
        </is>
      </c>
      <c r="B1081" s="2" t="inlineStr">
        <is>
          <t>Koaxiálna zásuvka, kovová, blister</t>
        </is>
      </c>
      <c r="C1081" s="1" t="n">
        <v>1.25</v>
      </c>
      <c r="D1081" s="7" t="n">
        <f>HYPERLINK("https://www.somogyi.sk/product/koaxialna-zasuvka-kovova-blister-fs-15x-2196","https://www.somogyi.sk/product/koaxialna-zasuvka-kovova-blister-fs-15x-2196")</f>
        <v>0.0</v>
      </c>
      <c r="E1081" s="7" t="n">
        <f>HYPERLINK("https://www.somogyi.sk/productimages/product_main_images/small/02196.jpg","https://www.somogyi.sk/productimages/product_main_images/small/02196.jpg")</f>
        <v>0.0</v>
      </c>
      <c r="F1081" s="2" t="inlineStr">
        <is>
          <t>5998312724613</t>
        </is>
      </c>
      <c r="G1081" s="4" t="inlineStr">
        <is>
          <t xml:space="preserve"> • prípojky: koaxiálna zásuvka 
 • materiál krytu: kovová 
 • zapojenie: skrutkovateľná 
 • blister: áno</t>
        </is>
      </c>
    </row>
    <row r="1082">
      <c r="A1082" s="3" t="inlineStr">
        <is>
          <t>FF 18</t>
        </is>
      </c>
      <c r="B1082" s="2" t="inlineStr">
        <is>
          <t>Redukcia, koax vidlica-F zásuvka</t>
        </is>
      </c>
      <c r="C1082" s="1" t="n">
        <v>1.25</v>
      </c>
      <c r="D1082" s="7" t="n">
        <f>HYPERLINK("https://www.somogyi.sk/product/redukcia-koax-vidlica-f-zasuvka-ff-18-1983","https://www.somogyi.sk/product/redukcia-koax-vidlica-f-zasuvka-ff-18-1983")</f>
        <v>0.0</v>
      </c>
      <c r="E1082" s="7" t="n">
        <f>HYPERLINK("https://www.somogyi.sk/productimages/product_main_images/small/01983.jpg","https://www.somogyi.sk/productimages/product_main_images/small/01983.jpg")</f>
        <v>0.0</v>
      </c>
      <c r="F1082" s="2" t="inlineStr">
        <is>
          <t>5998312711811</t>
        </is>
      </c>
      <c r="G1082" s="4" t="inlineStr">
        <is>
          <t xml:space="preserve"> • prípojky: koaxiálna vidlica / F zásuvka 
 • materiál krytu: kovová</t>
        </is>
      </c>
    </row>
    <row r="1083">
      <c r="A1083" s="3" t="inlineStr">
        <is>
          <t>FF 19</t>
        </is>
      </c>
      <c r="B1083" s="2" t="inlineStr">
        <is>
          <t xml:space="preserve">Redukcia, koax zásuvka-F vidlica </t>
        </is>
      </c>
      <c r="C1083" s="1" t="n">
        <v>1.25</v>
      </c>
      <c r="D1083" s="7" t="n">
        <f>HYPERLINK("https://www.somogyi.sk/product/redukcia-koax-zasuvka-f-vidlica-ff-19-1984","https://www.somogyi.sk/product/redukcia-koax-zasuvka-f-vidlica-ff-19-1984")</f>
        <v>0.0</v>
      </c>
      <c r="E1083" s="7" t="n">
        <f>HYPERLINK("https://www.somogyi.sk/productimages/product_main_images/small/01984.jpg","https://www.somogyi.sk/productimages/product_main_images/small/01984.jpg")</f>
        <v>0.0</v>
      </c>
      <c r="F1083" s="2" t="inlineStr">
        <is>
          <t>5998312711828</t>
        </is>
      </c>
      <c r="G1083" s="4" t="inlineStr">
        <is>
          <t xml:space="preserve"> • prípojky: koaxiálna zásuvka / F zásuvka 
 • materiál krytu: kovová</t>
        </is>
      </c>
    </row>
    <row r="1084">
      <c r="A1084" s="3" t="inlineStr">
        <is>
          <t>FS 18</t>
        </is>
      </c>
      <c r="B1084" s="2" t="inlineStr">
        <is>
          <t>Koaxiálna vidlica</t>
        </is>
      </c>
      <c r="C1084" s="1" t="n">
        <v>0.34</v>
      </c>
      <c r="D1084" s="7" t="n">
        <f>HYPERLINK("https://www.somogyi.sk/product/koaxialna-vidlica-fs-18-1990","https://www.somogyi.sk/product/koaxialna-vidlica-fs-18-1990")</f>
        <v>0.0</v>
      </c>
      <c r="E1084" s="7" t="n">
        <f>HYPERLINK("https://www.somogyi.sk/productimages/product_main_images/small/01990.jpg","https://www.somogyi.sk/productimages/product_main_images/small/01990.jpg")</f>
        <v>0.0</v>
      </c>
      <c r="F1084" s="2" t="inlineStr">
        <is>
          <t>5998312712351</t>
        </is>
      </c>
      <c r="G1084" s="4" t="inlineStr">
        <is>
          <t xml:space="preserve"> • prípojky: koaxiálna vidlica 
 • materiál krytu: plastová 
 • zapojenie: skrutkovateľná</t>
        </is>
      </c>
    </row>
    <row r="1085">
      <c r="A1085" s="3" t="inlineStr">
        <is>
          <t>FS 28</t>
        </is>
      </c>
      <c r="B1085" s="2" t="inlineStr">
        <is>
          <t>Koaxiálny rozbočovač, 1 vidlica-2 zásuvka, kovová</t>
        </is>
      </c>
      <c r="C1085" s="1" t="n">
        <v>1.79</v>
      </c>
      <c r="D1085" s="7" t="n">
        <f>HYPERLINK("https://www.somogyi.sk/product/koaxialny-rozbocovac-1-vidlica-2-zasuvka-kovova-fs-28-1780","https://www.somogyi.sk/product/koaxialny-rozbocovac-1-vidlica-2-zasuvka-kovova-fs-28-1780")</f>
        <v>0.0</v>
      </c>
      <c r="E1085" s="7" t="n">
        <f>HYPERLINK("https://www.somogyi.sk/productimages/product_main_images/small/01780.jpg","https://www.somogyi.sk/productimages/product_main_images/small/01780.jpg")</f>
        <v>0.0</v>
      </c>
      <c r="F1085" s="2" t="inlineStr">
        <is>
          <t>5998312702420</t>
        </is>
      </c>
      <c r="G1085" s="4" t="inlineStr">
        <is>
          <t xml:space="preserve"> • prípojky: koaxiálna vidlica / 2 x koaxiálna zásuvka 
 • materiál krytu: kovová</t>
        </is>
      </c>
    </row>
    <row r="1086">
      <c r="A1086" s="3" t="inlineStr">
        <is>
          <t>FF 15</t>
        </is>
      </c>
      <c r="B1086" s="2" t="inlineStr">
        <is>
          <t>F vidlica - F zásuvka</t>
        </is>
      </c>
      <c r="C1086" s="1" t="n">
        <v>1.25</v>
      </c>
      <c r="D1086" s="7" t="n">
        <f>HYPERLINK("https://www.somogyi.sk/product/f-vidlica-f-zasuvka-ff-15-1762","https://www.somogyi.sk/product/f-vidlica-f-zasuvka-ff-15-1762")</f>
        <v>0.0</v>
      </c>
      <c r="E1086" s="7" t="n">
        <f>HYPERLINK("https://www.somogyi.sk/productimages/product_main_images/small/01762.jpg","https://www.somogyi.sk/productimages/product_main_images/small/01762.jpg")</f>
        <v>0.0</v>
      </c>
      <c r="F1086" s="2" t="inlineStr">
        <is>
          <t>5998312702185</t>
        </is>
      </c>
      <c r="G1086" s="4" t="inlineStr">
        <is>
          <t xml:space="preserve"> • prípojky: F spojka, lomená (vidlica / zásuvka) 
 • materiál krytu: kovová</t>
        </is>
      </c>
    </row>
    <row r="1087">
      <c r="A1087" s="6" t="inlineStr">
        <is>
          <t xml:space="preserve">   Audio-video doplnky / Napájacia vidlica, akumulátorové kliešte, krokosvorka, radová svorka, prípojka batérie</t>
        </is>
      </c>
      <c r="B1087" s="6" t="inlineStr">
        <is>
          <t/>
        </is>
      </c>
      <c r="C1087" s="6" t="inlineStr">
        <is>
          <t/>
        </is>
      </c>
      <c r="D1087" s="6" t="inlineStr">
        <is>
          <t/>
        </is>
      </c>
      <c r="E1087" s="6" t="inlineStr">
        <is>
          <t/>
        </is>
      </c>
      <c r="F1087" s="6" t="inlineStr">
        <is>
          <t/>
        </is>
      </c>
      <c r="G1087" s="6" t="inlineStr">
        <is>
          <t/>
        </is>
      </c>
    </row>
    <row r="1088">
      <c r="A1088" s="3" t="inlineStr">
        <is>
          <t>VCC 3/RD</t>
        </is>
      </c>
      <c r="B1088" s="2" t="inlineStr">
        <is>
          <t>Krokosvorka, 55mm, červená</t>
        </is>
      </c>
      <c r="C1088" s="1" t="n">
        <v>0.22</v>
      </c>
      <c r="D1088" s="7" t="n">
        <f>HYPERLINK("https://www.somogyi.sk/product/krokosvorka-55mm-cervena-vcc-3-rd-2054","https://www.somogyi.sk/product/krokosvorka-55mm-cervena-vcc-3-rd-2054")</f>
        <v>0.0</v>
      </c>
      <c r="E1088" s="7" t="n">
        <f>HYPERLINK("https://www.somogyi.sk/productimages/product_main_images/small/02054.jpg","https://www.somogyi.sk/productimages/product_main_images/small/02054.jpg")</f>
        <v>0.0</v>
      </c>
      <c r="F1088" s="2" t="inlineStr">
        <is>
          <t>5998312722756</t>
        </is>
      </c>
      <c r="G1088" s="4" t="inlineStr">
        <is>
          <t xml:space="preserve"> • zapojenie: spájkovateľné 
 • rozmery: 55 mm 
 • ďalšie informácie: červená</t>
        </is>
      </c>
    </row>
    <row r="1089">
      <c r="A1089" s="3" t="inlineStr">
        <is>
          <t>DC 2CS</t>
        </is>
      </c>
      <c r="B1089" s="2" t="inlineStr">
        <is>
          <t>Prípojky DC s radovou svorkou</t>
        </is>
      </c>
      <c r="C1089" s="1" t="n">
        <v>1.59</v>
      </c>
      <c r="D1089" s="7" t="n">
        <f>HYPERLINK("https://www.somogyi.sk/product/pripojky-dc-s-radovou-svorkou-dc-2cs-15057","https://www.somogyi.sk/product/pripojky-dc-s-radovou-svorkou-dc-2cs-15057")</f>
        <v>0.0</v>
      </c>
      <c r="E1089" s="7" t="n">
        <f>HYPERLINK("https://www.somogyi.sk/productimages/product_main_images/small/15057.jpg","https://www.somogyi.sk/productimages/product_main_images/small/15057.jpg")</f>
        <v>0.0</v>
      </c>
      <c r="F1089" s="2" t="inlineStr">
        <is>
          <t>5999084930912</t>
        </is>
      </c>
      <c r="G1089" s="4" t="inlineStr">
        <is>
          <t xml:space="preserve"> • prípojka: 2,1 x 5,5 mm 
 • zapojenie: radová svorka (skrutkovateľná) 
 • materiál krytu: plast 
 • napätie: 12 V DC 
 • zaťažiteľnosť: 3 A 
 • ďalšie informácie: zásuvka - vidlica v páre</t>
        </is>
      </c>
    </row>
    <row r="1090">
      <c r="A1090" s="3" t="inlineStr">
        <is>
          <t>VCC 3/BK</t>
        </is>
      </c>
      <c r="B1090" s="2" t="inlineStr">
        <is>
          <t>Krokosvorka, 55mm, čierna</t>
        </is>
      </c>
      <c r="C1090" s="1" t="n">
        <v>0.22</v>
      </c>
      <c r="D1090" s="7" t="n">
        <f>HYPERLINK("https://www.somogyi.sk/product/krokosvorka-55mm-cierna-vcc-3-bk-2055","https://www.somogyi.sk/product/krokosvorka-55mm-cierna-vcc-3-bk-2055")</f>
        <v>0.0</v>
      </c>
      <c r="E1090" s="7" t="n">
        <f>HYPERLINK("https://www.somogyi.sk/productimages/product_main_images/small/02055.jpg","https://www.somogyi.sk/productimages/product_main_images/small/02055.jpg")</f>
        <v>0.0</v>
      </c>
      <c r="F1090" s="2" t="inlineStr">
        <is>
          <t>5998312722770</t>
        </is>
      </c>
      <c r="G1090" s="4" t="inlineStr">
        <is>
          <t xml:space="preserve"> • zapojenie: spájkovateľné 
 • rozmery: 55 mm 
 • ďalšie informácie: čierna</t>
        </is>
      </c>
    </row>
    <row r="1091">
      <c r="A1091" s="3" t="inlineStr">
        <is>
          <t>VBC 7/BK</t>
        </is>
      </c>
      <c r="B1091" s="2" t="inlineStr">
        <is>
          <t>Akumulátorová svorka, 50A, 100mm, čierna</t>
        </is>
      </c>
      <c r="C1091" s="1" t="n">
        <v>0.95</v>
      </c>
      <c r="D1091" s="7" t="n">
        <f>HYPERLINK("https://www.somogyi.sk/product/akumulatorova-svorka-50a-100mm-cierna-vbc-7-bk-2083","https://www.somogyi.sk/product/akumulatorova-svorka-50a-100mm-cierna-vbc-7-bk-2083")</f>
        <v>0.0</v>
      </c>
      <c r="E1091" s="7" t="n">
        <f>HYPERLINK("https://www.somogyi.sk/productimages/product_main_images/small/02083.jpg","https://www.somogyi.sk/productimages/product_main_images/small/02083.jpg")</f>
        <v>0.0</v>
      </c>
      <c r="F1091" s="2" t="inlineStr">
        <is>
          <t>5998312723173</t>
        </is>
      </c>
      <c r="G1091" s="4" t="inlineStr">
        <is>
          <t xml:space="preserve"> • zapojenie: spájkovateľné 
 • napätie: 12 V DC 
 • zaťažiteľnosť: 50 A 
 • rozmery: 100 mm 
 • ďalšie informácie: čierna</t>
        </is>
      </c>
    </row>
    <row r="1092">
      <c r="A1092" s="3" t="inlineStr">
        <is>
          <t>VBC 30/RD</t>
        </is>
      </c>
      <c r="B1092" s="2" t="inlineStr">
        <is>
          <t>Akumulátorová svorka, 30A, 75mm, červená</t>
        </is>
      </c>
      <c r="C1092" s="1" t="n">
        <v>0.59</v>
      </c>
      <c r="D1092" s="7" t="n">
        <f>HYPERLINK("https://www.somogyi.sk/product/akumulatorova-svorka-30a-75mm-cervena-vbc-30-rd-4212","https://www.somogyi.sk/product/akumulatorova-svorka-30a-75mm-cervena-vbc-30-rd-4212")</f>
        <v>0.0</v>
      </c>
      <c r="E1092" s="7" t="n">
        <f>HYPERLINK("https://www.somogyi.sk/productimages/product_main_images/small/04212.jpg","https://www.somogyi.sk/productimages/product_main_images/small/04212.jpg")</f>
        <v>0.0</v>
      </c>
      <c r="F1092" s="2" t="inlineStr">
        <is>
          <t>5998312737439</t>
        </is>
      </c>
      <c r="G1092" s="4" t="inlineStr">
        <is>
          <t xml:space="preserve"> • zapojenie: spájkovateľné 
 • napätie: 12 V DC 
 • zaťažiteľnosť: 30 A 
 • rozmery: 75 mm 
 • ďalšie informácie: červená</t>
        </is>
      </c>
    </row>
    <row r="1093">
      <c r="A1093" s="3" t="inlineStr">
        <is>
          <t>VBC 30/BK</t>
        </is>
      </c>
      <c r="B1093" s="2" t="inlineStr">
        <is>
          <t>Akumulátorová svorka, 30A, 75mm, čierna</t>
        </is>
      </c>
      <c r="C1093" s="1" t="n">
        <v>0.59</v>
      </c>
      <c r="D1093" s="7" t="n">
        <f>HYPERLINK("https://www.somogyi.sk/product/akumulatorova-svorka-30a-75mm-cierna-vbc-30-bk-4213","https://www.somogyi.sk/product/akumulatorova-svorka-30a-75mm-cierna-vbc-30-bk-4213")</f>
        <v>0.0</v>
      </c>
      <c r="E1093" s="7" t="n">
        <f>HYPERLINK("https://www.somogyi.sk/productimages/product_main_images/small/04213.jpg","https://www.somogyi.sk/productimages/product_main_images/small/04213.jpg")</f>
        <v>0.0</v>
      </c>
      <c r="F1093" s="2" t="inlineStr">
        <is>
          <t>5998312737446</t>
        </is>
      </c>
      <c r="G1093" s="4" t="inlineStr">
        <is>
          <t xml:space="preserve"> • zapojenie: spájkovateľné 
 • napätie: 12 V DC 
 • zaťažiteľnosť: 30 A 
 • rozmery: 75 mm 
 • ďalšie informácie: čierna</t>
        </is>
      </c>
    </row>
    <row r="1094">
      <c r="A1094" s="3" t="inlineStr">
        <is>
          <t>ALC 4/BK</t>
        </is>
      </c>
      <c r="B1094" s="2" t="inlineStr">
        <is>
          <t>Akumulátorová svorka, čierná, banániková zásuvka</t>
        </is>
      </c>
      <c r="C1094" s="1" t="n">
        <v>0.32</v>
      </c>
      <c r="D1094" s="7" t="n">
        <f>HYPERLINK("https://www.somogyi.sk/product/akumulatorova-svorka-cierna-bananikova-zasuvka-alc-4-bk-2057","https://www.somogyi.sk/product/akumulatorova-svorka-cierna-bananikova-zasuvka-alc-4-bk-2057")</f>
        <v>0.0</v>
      </c>
      <c r="E1094" s="7" t="n">
        <f>HYPERLINK("https://www.somogyi.sk/productimages/product_main_images/small/02057.jpg","https://www.somogyi.sk/productimages/product_main_images/small/02057.jpg")</f>
        <v>0.0</v>
      </c>
      <c r="F1094" s="2" t="inlineStr">
        <is>
          <t>5998312722817</t>
        </is>
      </c>
      <c r="G1094" s="4" t="inlineStr">
        <is>
          <t xml:space="preserve"> • zapojenie: banániková zásuvka / skrutkovateľné 
 • rozmery: 65 mm 
 • ďalšie informácie: čierna</t>
        </is>
      </c>
    </row>
    <row r="1095">
      <c r="A1095" s="3" t="inlineStr">
        <is>
          <t>VBC 7/RD</t>
        </is>
      </c>
      <c r="B1095" s="2" t="inlineStr">
        <is>
          <t>Akumulátorová svorka, 50A, 100mm, červená</t>
        </is>
      </c>
      <c r="C1095" s="1" t="n">
        <v>0.95</v>
      </c>
      <c r="D1095" s="7" t="n">
        <f>HYPERLINK("https://www.somogyi.sk/product/akumulatorova-svorka-50a-100mm-cervena-vbc-7-rd-1954","https://www.somogyi.sk/product/akumulatorova-svorka-50a-100mm-cervena-vbc-7-rd-1954")</f>
        <v>0.0</v>
      </c>
      <c r="E1095" s="7" t="n">
        <f>HYPERLINK("https://www.somogyi.sk/productimages/product_main_images/small/01954.jpg","https://www.somogyi.sk/productimages/product_main_images/small/01954.jpg")</f>
        <v>0.0</v>
      </c>
      <c r="F1095" s="2" t="inlineStr">
        <is>
          <t>5998312705704</t>
        </is>
      </c>
      <c r="G1095" s="4" t="inlineStr">
        <is>
          <t xml:space="preserve"> • zapojenie: spájkovateľné 
 • napätie: 12 V DC 
 • zaťažiteľnosť: 50 A 
 • rozmery: 100 mm 
 • ďalšie informácie: červená</t>
        </is>
      </c>
    </row>
    <row r="1096">
      <c r="A1096" s="3" t="inlineStr">
        <is>
          <t>VBC 200/BK</t>
        </is>
      </c>
      <c r="B1096" s="2" t="inlineStr">
        <is>
          <t>Akumulátorová svorka, 200A, 150mm, čierna</t>
        </is>
      </c>
      <c r="C1096" s="1" t="n">
        <v>2.79</v>
      </c>
      <c r="D1096" s="7" t="n">
        <f>HYPERLINK("https://www.somogyi.sk/product/akumulatorova-svorka-200a-150mm-cierna-vbc-200-bk-4742","https://www.somogyi.sk/product/akumulatorova-svorka-200a-150mm-cierna-vbc-200-bk-4742")</f>
        <v>0.0</v>
      </c>
      <c r="E1096" s="7" t="n">
        <f>HYPERLINK("https://www.somogyi.sk/productimages/product_main_images/small/04742.jpg","https://www.somogyi.sk/productimages/product_main_images/small/04742.jpg")</f>
        <v>0.0</v>
      </c>
      <c r="F1096" s="2" t="inlineStr">
        <is>
          <t>5998312741863</t>
        </is>
      </c>
      <c r="G1096" s="4" t="inlineStr">
        <is>
          <t xml:space="preserve"> • zapojenie: spájkovateľné 
 • napätie: 12 V DC 
 • zaťažiteľnosť: 200 A 
 • rozmery: 150 mm 
 • ďalšie informácie: čierna</t>
        </is>
      </c>
    </row>
    <row r="1097">
      <c r="A1097" s="3" t="inlineStr">
        <is>
          <t>DC 1K</t>
        </is>
      </c>
      <c r="B1097" s="2" t="inlineStr">
        <is>
          <t>Spínač DC s prípojkami, 12 V, 2 x cca. 15 cm kábel</t>
        </is>
      </c>
      <c r="C1097" s="1" t="n">
        <v>2.59</v>
      </c>
      <c r="D1097" s="7" t="n">
        <f>HYPERLINK("https://www.somogyi.sk/product/spinac-dc-s-pripojkami-12-v-2-x-cca-15-cm-kabel-dc-1k-15056","https://www.somogyi.sk/product/spinac-dc-s-pripojkami-12-v-2-x-cca-15-cm-kabel-dc-1k-15056")</f>
        <v>0.0</v>
      </c>
      <c r="E1097" s="7" t="n">
        <f>HYPERLINK("https://www.somogyi.sk/productimages/product_main_images/small/15056.jpg","https://www.somogyi.sk/productimages/product_main_images/small/15056.jpg")</f>
        <v>0.0</v>
      </c>
      <c r="F1097" s="2" t="inlineStr">
        <is>
          <t>5999084930905</t>
        </is>
      </c>
      <c r="G1097" s="4" t="inlineStr">
        <is>
          <t xml:space="preserve"> • prípojka: 2,1 x 5,5 mm 
 • napätie: 12 V 
 • zaťažiteľnosť: 3 A 
 • dĺžka kábla: 2 x cca. 15 cm kábel, zásuvka + vidlica 
 • ďalšie informácie: 12 V spínač medzi káblami</t>
        </is>
      </c>
    </row>
    <row r="1098">
      <c r="A1098" s="3" t="inlineStr">
        <is>
          <t>ALC 4/RD</t>
        </is>
      </c>
      <c r="B1098" s="2" t="inlineStr">
        <is>
          <t>Akumulátorová svorka, červená, banániková zásuvka</t>
        </is>
      </c>
      <c r="C1098" s="1" t="n">
        <v>0.32</v>
      </c>
      <c r="D1098" s="7" t="n">
        <f>HYPERLINK("https://www.somogyi.sk/product/akumulatorova-svorka-cervena-bananikova-zasuvka-alc-4-rd-2056","https://www.somogyi.sk/product/akumulatorova-svorka-cervena-bananikova-zasuvka-alc-4-rd-2056")</f>
        <v>0.0</v>
      </c>
      <c r="E1098" s="7" t="n">
        <f>HYPERLINK("https://www.somogyi.sk/productimages/product_main_images/small/02056.jpg","https://www.somogyi.sk/productimages/product_main_images/small/02056.jpg")</f>
        <v>0.0</v>
      </c>
      <c r="F1098" s="2" t="inlineStr">
        <is>
          <t>5998312722794</t>
        </is>
      </c>
      <c r="G1098" s="4" t="inlineStr">
        <is>
          <t xml:space="preserve"> • zapojenie: banániková zásuvka / skrutkovateľné 
 • rozmery: 65 mm 
 • ďalšie informácie: červená</t>
        </is>
      </c>
    </row>
    <row r="1099">
      <c r="A1099" s="3" t="inlineStr">
        <is>
          <t>ALC 44X</t>
        </is>
      </c>
      <c r="B1099" s="2" t="inlineStr">
        <is>
          <t>Akumulátorové kliešte /červené+čierne</t>
        </is>
      </c>
      <c r="C1099" s="1" t="n">
        <v>1.05</v>
      </c>
      <c r="D1099" s="7" t="n">
        <f>HYPERLINK("https://www.somogyi.sk/product/akumulatorove-klieste-cervene-cierne-alc-44x-2270","https://www.somogyi.sk/product/akumulatorove-klieste-cervene-cierne-alc-44x-2270")</f>
        <v>0.0</v>
      </c>
      <c r="E1099" s="7" t="n">
        <f>HYPERLINK("https://www.somogyi.sk/productimages/product_main_images/small/02270.jpg","https://www.somogyi.sk/productimages/product_main_images/small/02270.jpg")</f>
        <v>0.0</v>
      </c>
      <c r="F1099" s="2" t="inlineStr">
        <is>
          <t>5998312725368</t>
        </is>
      </c>
      <c r="G1099" s="4" t="inlineStr">
        <is>
          <t xml:space="preserve"> • prípojka: 2 x ALC 4 krokosvorky 
 • zapojenie: banániková zásuvka / skrutkovateľná 
 • rozmery: 65 mm 
 • ďalšie informácie: čierna + červená 
 • blister: áno</t>
        </is>
      </c>
    </row>
    <row r="1100">
      <c r="A1100" s="3" t="inlineStr">
        <is>
          <t>VBC 100/BK</t>
        </is>
      </c>
      <c r="B1100" s="2" t="inlineStr">
        <is>
          <t>Akumulátorová svorka, 100A, 110mm, čierna</t>
        </is>
      </c>
      <c r="C1100" s="1" t="n">
        <v>1.59</v>
      </c>
      <c r="D1100" s="7" t="n">
        <f>HYPERLINK("https://www.somogyi.sk/product/akumulatorova-svorka-100a-110mm-cierna-vbc-100-bk-4214","https://www.somogyi.sk/product/akumulatorova-svorka-100a-110mm-cierna-vbc-100-bk-4214")</f>
        <v>0.0</v>
      </c>
      <c r="E1100" s="7" t="n">
        <f>HYPERLINK("https://www.somogyi.sk/productimages/product_main_images/small/04214.jpg","https://www.somogyi.sk/productimages/product_main_images/small/04214.jpg")</f>
        <v>0.0</v>
      </c>
      <c r="F1100" s="2" t="inlineStr">
        <is>
          <t>5998312737453</t>
        </is>
      </c>
      <c r="G1100" s="4" t="inlineStr">
        <is>
          <t xml:space="preserve"> • zapojenie: spájkovateľné 
 • napätie: 12 V DC 
 • zaťažiteľnosť: 100 A 
 • rozmery: 110 mm 
 • ďalšie informácie: čierna</t>
        </is>
      </c>
    </row>
    <row r="1101">
      <c r="A1101" s="3" t="inlineStr">
        <is>
          <t>BH 036</t>
        </is>
      </c>
      <c r="B1101" s="2" t="inlineStr">
        <is>
          <t>Prípojka k 9 V batérii</t>
        </is>
      </c>
      <c r="C1101" s="1" t="n">
        <v>0.39</v>
      </c>
      <c r="D1101" s="7" t="n">
        <f>HYPERLINK("https://www.somogyi.sk/product/pripojka-k-9-v-baterii-bh-036-1725","https://www.somogyi.sk/product/pripojka-k-9-v-baterii-bh-036-1725")</f>
        <v>0.0</v>
      </c>
      <c r="E1101" s="7" t="n">
        <f>HYPERLINK("https://www.somogyi.sk/productimages/product_main_images/small/01725.jpg","https://www.somogyi.sk/productimages/product_main_images/small/01725.jpg")</f>
        <v>0.0</v>
      </c>
      <c r="F1101" s="2" t="inlineStr">
        <is>
          <t>5998312701492</t>
        </is>
      </c>
      <c r="G1101" s="4" t="inlineStr">
        <is>
          <t xml:space="preserve"> • prípojka: k 9 V batérii 
 • zapojenie: spájkovateľné 
 • materiál krytu: plast 
 • dĺžka kábla: 15 cm</t>
        </is>
      </c>
    </row>
    <row r="1102">
      <c r="A1102" s="3" t="inlineStr">
        <is>
          <t>VBC 100/RD</t>
        </is>
      </c>
      <c r="B1102" s="2" t="inlineStr">
        <is>
          <t>Akumulátorová svorka, 100A, 110mm, červená</t>
        </is>
      </c>
      <c r="C1102" s="1" t="n">
        <v>1.59</v>
      </c>
      <c r="D1102" s="7" t="n">
        <f>HYPERLINK("https://www.somogyi.sk/product/akumulatorova-svorka-100a-110mm-cervena-vbc-100-rd-4215","https://www.somogyi.sk/product/akumulatorova-svorka-100a-110mm-cervena-vbc-100-rd-4215")</f>
        <v>0.0</v>
      </c>
      <c r="E1102" s="7" t="n">
        <f>HYPERLINK("https://www.somogyi.sk/productimages/product_main_images/small/04215.jpg","https://www.somogyi.sk/productimages/product_main_images/small/04215.jpg")</f>
        <v>0.0</v>
      </c>
      <c r="F1102" s="2" t="inlineStr">
        <is>
          <t>5998312737460</t>
        </is>
      </c>
      <c r="G1102" s="4" t="inlineStr">
        <is>
          <t xml:space="preserve"> • zapojenie: spájkovateľné 
 • napätie: 12 V DC 
 • zaťažiteľnosť: 100 A 
 • rozmery: 110 mm 
 • ďalšie informácie: červená</t>
        </is>
      </c>
    </row>
    <row r="1103">
      <c r="A1103" s="3" t="inlineStr">
        <is>
          <t>VBC 200/RD</t>
        </is>
      </c>
      <c r="B1103" s="2" t="inlineStr">
        <is>
          <t>Akumulátorová svorka, 200A, 150mm, červená</t>
        </is>
      </c>
      <c r="C1103" s="1" t="n">
        <v>2.79</v>
      </c>
      <c r="D1103" s="7" t="n">
        <f>HYPERLINK("https://www.somogyi.sk/product/akumulatorova-svorka-200a-150mm-cervena-vbc-200-rd-4743","https://www.somogyi.sk/product/akumulatorova-svorka-200a-150mm-cervena-vbc-200-rd-4743")</f>
        <v>0.0</v>
      </c>
      <c r="E1103" s="7" t="n">
        <f>HYPERLINK("https://www.somogyi.sk/productimages/product_main_images/small/04743.jpg","https://www.somogyi.sk/productimages/product_main_images/small/04743.jpg")</f>
        <v>0.0</v>
      </c>
      <c r="F1103" s="2" t="inlineStr">
        <is>
          <t>5998312741870</t>
        </is>
      </c>
      <c r="G1103" s="4" t="inlineStr">
        <is>
          <t xml:space="preserve"> • zapojenie: spájkovateľné 
 • napätie: 12 V DC 
 • zaťažiteľnosť: 200 A 
 • rozmery: 150 mm 
 • ďalšie informácie: červená</t>
        </is>
      </c>
    </row>
    <row r="1104">
      <c r="A1104" s="6" t="inlineStr">
        <is>
          <t xml:space="preserve">   Audio-video doplnky / Svorka bez izolácie</t>
        </is>
      </c>
      <c r="B1104" s="6" t="inlineStr">
        <is>
          <t/>
        </is>
      </c>
      <c r="C1104" s="6" t="inlineStr">
        <is>
          <t/>
        </is>
      </c>
      <c r="D1104" s="6" t="inlineStr">
        <is>
          <t/>
        </is>
      </c>
      <c r="E1104" s="6" t="inlineStr">
        <is>
          <t/>
        </is>
      </c>
      <c r="F1104" s="6" t="inlineStr">
        <is>
          <t/>
        </is>
      </c>
      <c r="G1104" s="6" t="inlineStr">
        <is>
          <t/>
        </is>
      </c>
    </row>
    <row r="1105">
      <c r="A1105" s="3" t="inlineStr">
        <is>
          <t>KSD 2,8-0,5/Cu</t>
        </is>
      </c>
      <c r="B1105" s="2" t="inlineStr">
        <is>
          <t>Káblová svorka, 2,8x0,8, vidlica, meď</t>
        </is>
      </c>
      <c r="C1105" s="1" t="n">
        <v>0.08</v>
      </c>
      <c r="D1105" s="7" t="n">
        <f>HYPERLINK("https://www.somogyi.sk/product/kablova-svorka-2-8x0-8-vidlica-med-ksd-2-8-0-5-cu-5128","https://www.somogyi.sk/product/kablova-svorka-2-8x0-8-vidlica-med-ksd-2-8-0-5-cu-5128")</f>
        <v>0.0</v>
      </c>
      <c r="E1105" s="7" t="n">
        <f>HYPERLINK("https://www.somogyi.sk/productimages/product_main_images/small/05128.jpg","https://www.somogyi.sk/productimages/product_main_images/small/05128.jpg")</f>
        <v>0.0</v>
      </c>
      <c r="F1105" s="2" t="inlineStr">
        <is>
          <t>5998312745168</t>
        </is>
      </c>
      <c r="G1105" s="4" t="inlineStr">
        <is>
          <t xml:space="preserve"> • materiál: materiál 
 • rozmery: rozmery 
 • prierez kábla: prierez kábla</t>
        </is>
      </c>
    </row>
    <row r="1106">
      <c r="A1106" s="3" t="inlineStr">
        <is>
          <t>KSH 6,3-0,5/Sn</t>
        </is>
      </c>
      <c r="B1106" s="2" t="inlineStr">
        <is>
          <t>Káblová svorka, 6,3x0,5, zásuvka, cínovaná meď</t>
        </is>
      </c>
      <c r="C1106" s="1" t="n">
        <v>0.09</v>
      </c>
      <c r="D1106" s="7" t="n">
        <f>HYPERLINK("https://www.somogyi.sk/product/kablova-svorka-6-3x0-5-zasuvka-cinovana-med-ksh-6-3-0-5-sn-5133","https://www.somogyi.sk/product/kablova-svorka-6-3x0-5-zasuvka-cinovana-med-ksh-6-3-0-5-sn-5133")</f>
        <v>0.0</v>
      </c>
      <c r="E1106" s="7" t="n">
        <f>HYPERLINK("https://www.somogyi.sk/productimages/product_main_images/small/05133.jpg","https://www.somogyi.sk/productimages/product_main_images/small/05133.jpg")</f>
        <v>0.0</v>
      </c>
      <c r="F1106" s="2" t="inlineStr">
        <is>
          <t>5998312745212</t>
        </is>
      </c>
      <c r="G1106" s="4" t="inlineStr">
        <is>
          <t xml:space="preserve"> • materiál: meď 
 • rozmery: 6,3 x 0,5 mm 
 • prierez kábla: 0,5 - 1 mm²</t>
        </is>
      </c>
    </row>
    <row r="1107">
      <c r="A1107" s="3" t="inlineStr">
        <is>
          <t>KSH 2,8-0,5/Cu</t>
        </is>
      </c>
      <c r="B1107" s="2" t="inlineStr">
        <is>
          <t>Káblová svorka, 2,8x0,5, zásuvka, meď</t>
        </is>
      </c>
      <c r="C1107" s="1" t="n">
        <v>0.08</v>
      </c>
      <c r="D1107" s="7" t="n">
        <f>HYPERLINK("https://www.somogyi.sk/product/kablova-svorka-2-8x0-5-zasuvka-med-ksh-2-8-0-5-cu-5126","https://www.somogyi.sk/product/kablova-svorka-2-8x0-5-zasuvka-med-ksh-2-8-0-5-cu-5126")</f>
        <v>0.0</v>
      </c>
      <c r="E1107" s="7" t="n">
        <f>HYPERLINK("https://www.somogyi.sk/productimages/product_main_images/small/05126.jpg","https://www.somogyi.sk/productimages/product_main_images/small/05126.jpg")</f>
        <v>0.0</v>
      </c>
      <c r="F1107" s="2" t="inlineStr">
        <is>
          <t>5998312745144</t>
        </is>
      </c>
      <c r="G1107" s="4" t="inlineStr">
        <is>
          <t xml:space="preserve"> • materiál: pocínovaná meď 
 • rozmery: 6,3 x 0,8 mm 
 • prierez kábla: 0,5 - 1 mm²</t>
        </is>
      </c>
    </row>
    <row r="1108">
      <c r="A1108" s="3" t="inlineStr">
        <is>
          <t>KSD 4,8-0,5/Cu</t>
        </is>
      </c>
      <c r="B1108" s="2" t="inlineStr">
        <is>
          <t>Káblová svorka, 4,8x0,8, vidlica, meď</t>
        </is>
      </c>
      <c r="C1108" s="1" t="n">
        <v>0.08</v>
      </c>
      <c r="D1108" s="7" t="n">
        <f>HYPERLINK("https://www.somogyi.sk/product/kablova-svorka-4-8x0-8-vidlica-med-ksd-4-8-0-5-cu-5134","https://www.somogyi.sk/product/kablova-svorka-4-8x0-8-vidlica-med-ksd-4-8-0-5-cu-5134")</f>
        <v>0.0</v>
      </c>
      <c r="E1108" s="7" t="n">
        <f>HYPERLINK("https://www.somogyi.sk/productimages/product_main_images/small/05134.jpg","https://www.somogyi.sk/productimages/product_main_images/small/05134.jpg")</f>
        <v>0.0</v>
      </c>
      <c r="F1108" s="2" t="inlineStr">
        <is>
          <t>5998312745229</t>
        </is>
      </c>
      <c r="G1108" s="4" t="inlineStr">
        <is>
          <t xml:space="preserve"> • materiál: pocínovaná meď 
 • rozmery: 2,8 x 0,5 mm 
 • prierez kábla: 0,5 - 1 mm²</t>
        </is>
      </c>
    </row>
    <row r="1109">
      <c r="A1109" s="3" t="inlineStr">
        <is>
          <t>KSH 6,3-0,5/Cu</t>
        </is>
      </c>
      <c r="B1109" s="2" t="inlineStr">
        <is>
          <t>Káblová svorka, 6,3x0,5, zásuvka, meď</t>
        </is>
      </c>
      <c r="C1109" s="1" t="n">
        <v>0.09</v>
      </c>
      <c r="D1109" s="7" t="n">
        <f>HYPERLINK("https://www.somogyi.sk/product/kablova-svorka-6-3x0-5-zasuvka-med-ksh-6-3-0-5-cu-5132","https://www.somogyi.sk/product/kablova-svorka-6-3x0-5-zasuvka-med-ksh-6-3-0-5-cu-5132")</f>
        <v>0.0</v>
      </c>
      <c r="E1109" s="7" t="n">
        <f>HYPERLINK("https://www.somogyi.sk/productimages/product_main_images/small/05132.jpg","https://www.somogyi.sk/productimages/product_main_images/small/05132.jpg")</f>
        <v>0.0</v>
      </c>
      <c r="F1109" s="2" t="inlineStr">
        <is>
          <t>5998312745205</t>
        </is>
      </c>
      <c r="G1109" s="4" t="inlineStr">
        <is>
          <t xml:space="preserve"> • materiál: pocínovaná meď 
 • rozmery: 4,8 x 0,5 mm 
 • prierez kábla: 0,5 - 1 mm²</t>
        </is>
      </c>
    </row>
    <row r="1110">
      <c r="A1110" s="3" t="inlineStr">
        <is>
          <t>KSH 4,8-0,5/Cu</t>
        </is>
      </c>
      <c r="B1110" s="2" t="inlineStr">
        <is>
          <t>Káblová svorka, 4,8x0,5, zásuvka, meď</t>
        </is>
      </c>
      <c r="C1110" s="1" t="n">
        <v>0.08</v>
      </c>
      <c r="D1110" s="7" t="n">
        <f>HYPERLINK("https://www.somogyi.sk/product/kablova-svorka-4-8x0-5-zasuvka-med-ksh-4-8-0-5-cu-5130","https://www.somogyi.sk/product/kablova-svorka-4-8x0-5-zasuvka-med-ksh-4-8-0-5-cu-5130")</f>
        <v>0.0</v>
      </c>
      <c r="E1110" s="7" t="n">
        <f>HYPERLINK("https://www.somogyi.sk/productimages/product_main_images/small/05130.jpg","https://www.somogyi.sk/productimages/product_main_images/small/05130.jpg")</f>
        <v>0.0</v>
      </c>
      <c r="F1110" s="2" t="inlineStr">
        <is>
          <t>5998312745182</t>
        </is>
      </c>
      <c r="G1110" s="4" t="inlineStr">
        <is>
          <t xml:space="preserve"> • materiál: pocínovaná meď 
 • rozmery: 2,8 x 0,5 mm 
 • prierez kábla: 0,5 - 1 mm²</t>
        </is>
      </c>
    </row>
    <row r="1111">
      <c r="A1111" s="3" t="inlineStr">
        <is>
          <t>KSH 4,8-0,5/Sn</t>
        </is>
      </c>
      <c r="B1111" s="2" t="inlineStr">
        <is>
          <t>Káblová svorka, 4,8x0,5, zásuvka, cínovaná meď</t>
        </is>
      </c>
      <c r="C1111" s="1" t="n">
        <v>0.08</v>
      </c>
      <c r="D1111" s="7" t="n">
        <f>HYPERLINK("https://www.somogyi.sk/product/kablova-svorka-4-8x0-5-zasuvka-cinovana-med-ksh-4-8-0-5-sn-5131","https://www.somogyi.sk/product/kablova-svorka-4-8x0-5-zasuvka-cinovana-med-ksh-4-8-0-5-sn-5131")</f>
        <v>0.0</v>
      </c>
      <c r="E1111" s="7" t="n">
        <f>HYPERLINK("https://www.somogyi.sk/productimages/product_main_images/small/05131.jpg","https://www.somogyi.sk/productimages/product_main_images/small/05131.jpg")</f>
        <v>0.0</v>
      </c>
      <c r="F1111" s="2" t="inlineStr">
        <is>
          <t>5998312745199</t>
        </is>
      </c>
      <c r="G1111" s="4" t="inlineStr">
        <is>
          <t xml:space="preserve"> • materiál: meď 
 • rozmery: 4,8 x 0,5 mm 
 • prierez kábla: 0,5 - 1 mm²</t>
        </is>
      </c>
    </row>
    <row r="1112">
      <c r="A1112" s="3" t="inlineStr">
        <is>
          <t>KSD 6,3-0,8/Cu</t>
        </is>
      </c>
      <c r="B1112" s="2" t="inlineStr">
        <is>
          <t>Káblová svorka, 6,3x0,8, vidlica, meď</t>
        </is>
      </c>
      <c r="C1112" s="1" t="n">
        <v>0.09</v>
      </c>
      <c r="D1112" s="7" t="n">
        <f>HYPERLINK("https://www.somogyi.sk/product/kablova-svorka-6-3x0-8-vidlica-med-ksd-6-3-0-8-cu-5136","https://www.somogyi.sk/product/kablova-svorka-6-3x0-8-vidlica-med-ksd-6-3-0-8-cu-5136")</f>
        <v>0.0</v>
      </c>
      <c r="E1112" s="7" t="n">
        <f>HYPERLINK("https://www.somogyi.sk/productimages/product_main_images/small/05136.jpg","https://www.somogyi.sk/productimages/product_main_images/small/05136.jpg")</f>
        <v>0.0</v>
      </c>
      <c r="F1112" s="2" t="inlineStr">
        <is>
          <t>5998312745243</t>
        </is>
      </c>
      <c r="G1112" s="4" t="inlineStr">
        <is>
          <t xml:space="preserve"> • materiál: pocínovaná meď 
 • rozmery: 4,8 x 0,5 mm 
 • prierez kábla: 0,5 - 1 mm²</t>
        </is>
      </c>
    </row>
    <row r="1113">
      <c r="A1113" s="6" t="inlineStr">
        <is>
          <t xml:space="preserve">   Audio-video doplnky / Objímka poistky</t>
        </is>
      </c>
      <c r="B1113" s="6" t="inlineStr">
        <is>
          <t/>
        </is>
      </c>
      <c r="C1113" s="6" t="inlineStr">
        <is>
          <t/>
        </is>
      </c>
      <c r="D1113" s="6" t="inlineStr">
        <is>
          <t/>
        </is>
      </c>
      <c r="E1113" s="6" t="inlineStr">
        <is>
          <t/>
        </is>
      </c>
      <c r="F1113" s="6" t="inlineStr">
        <is>
          <t/>
        </is>
      </c>
      <c r="G1113" s="6" t="inlineStr">
        <is>
          <t/>
        </is>
      </c>
    </row>
    <row r="1114">
      <c r="A1114" s="3" t="inlineStr">
        <is>
          <t>BF 53L</t>
        </is>
      </c>
      <c r="B1114" s="2" t="inlineStr">
        <is>
          <t>Objímka pre poistku, 5x20 mm, voľná, skrutkovateľná</t>
        </is>
      </c>
      <c r="C1114" s="1" t="n">
        <v>0.59</v>
      </c>
      <c r="D1114" s="7" t="n">
        <f>HYPERLINK("https://www.somogyi.sk/product/objimka-pre-poistku-5x20-mm-volna-skrutkovatelna-bf-53l-3272","https://www.somogyi.sk/product/objimka-pre-poistku-5x20-mm-volna-skrutkovatelna-bf-53l-3272")</f>
        <v>0.0</v>
      </c>
      <c r="E1114" s="7" t="n">
        <f>HYPERLINK("https://www.somogyi.sk/productimages/product_main_images/small/03272.jpg","https://www.somogyi.sk/productimages/product_main_images/small/03272.jpg")</f>
        <v>0.0</v>
      </c>
      <c r="F1114" s="2" t="inlineStr">
        <is>
          <t>5998312735961</t>
        </is>
      </c>
      <c r="G1114" s="4" t="inlineStr">
        <is>
          <t xml:space="preserve"> • rozmery poistky: 5 x 20 mm 
 • typ: voľná 
 • zakončenie objímky: skrutkovateľná</t>
        </is>
      </c>
    </row>
    <row r="1115">
      <c r="A1115" s="3" t="inlineStr">
        <is>
          <t>BF 52B</t>
        </is>
      </c>
      <c r="B1115" s="2" t="inlineStr">
        <is>
          <t>Objímka pre poistku, 5x20mm, zabudovateľná</t>
        </is>
      </c>
      <c r="C1115" s="1" t="n">
        <v>0.99</v>
      </c>
      <c r="D1115" s="7" t="n">
        <f>HYPERLINK("https://www.somogyi.sk/product/objimka-pre-poistku-5x20mm-zabudovatelna-bf-52b-1718","https://www.somogyi.sk/product/objimka-pre-poistku-5x20mm-zabudovatelna-bf-52b-1718")</f>
        <v>0.0</v>
      </c>
      <c r="E1115" s="7" t="n">
        <f>HYPERLINK("https://www.somogyi.sk/productimages/product_main_images/small/01718.jpg","https://www.somogyi.sk/productimages/product_main_images/small/01718.jpg")</f>
        <v>0.0</v>
      </c>
      <c r="F1115" s="2" t="inlineStr">
        <is>
          <t>5998312701409</t>
        </is>
      </c>
      <c r="G1115" s="4" t="inlineStr">
        <is>
          <t xml:space="preserve"> • rozmery poistky: 5 x 20 mm 
 • typ: zabudovateľná 
 • zakončenie objímky: skrutkovateľná</t>
        </is>
      </c>
    </row>
    <row r="1116">
      <c r="A1116" s="6" t="inlineStr">
        <is>
          <t xml:space="preserve">   Audio-video doplnky / Poistka</t>
        </is>
      </c>
      <c r="B1116" s="6" t="inlineStr">
        <is>
          <t/>
        </is>
      </c>
      <c r="C1116" s="6" t="inlineStr">
        <is>
          <t/>
        </is>
      </c>
      <c r="D1116" s="6" t="inlineStr">
        <is>
          <t/>
        </is>
      </c>
      <c r="E1116" s="6" t="inlineStr">
        <is>
          <t/>
        </is>
      </c>
      <c r="F1116" s="6" t="inlineStr">
        <is>
          <t/>
        </is>
      </c>
      <c r="G1116" s="6" t="inlineStr">
        <is>
          <t/>
        </is>
      </c>
    </row>
    <row r="1117">
      <c r="A1117" s="3" t="inlineStr">
        <is>
          <t>F4 A</t>
        </is>
      </c>
      <c r="B1117" s="2" t="inlineStr">
        <is>
          <t>Poistka, 5 x 20 mm, rýchla, 4A</t>
        </is>
      </c>
      <c r="C1117" s="1" t="n">
        <v>0.15</v>
      </c>
      <c r="D1117" s="7" t="n">
        <f>HYPERLINK("https://www.somogyi.sk/product/poistka-5-x-20-mm-rychla-4a-f4-a-1749","https://www.somogyi.sk/product/poistka-5-x-20-mm-rychla-4a-f4-a-1749")</f>
        <v>0.0</v>
      </c>
      <c r="E1117" s="7" t="n">
        <f>HYPERLINK("https://www.somogyi.sk/productimages/product_main_images/small/01749.jpg","https://www.somogyi.sk/productimages/product_main_images/small/01749.jpg")</f>
        <v>0.0</v>
      </c>
      <c r="F1117" s="2" t="inlineStr">
        <is>
          <t>5998312702017</t>
        </is>
      </c>
      <c r="G1117" s="4" t="inlineStr">
        <is>
          <t xml:space="preserve"> • vlastnosť: rýchla 
 • rozmery: 5 x 20 mm 
 • napätie: 250 V~ 
 • prúd: 4 A</t>
        </is>
      </c>
    </row>
    <row r="1118">
      <c r="A1118" s="3" t="inlineStr">
        <is>
          <t>F100 MA</t>
        </is>
      </c>
      <c r="B1118" s="2" t="inlineStr">
        <is>
          <t>Poistka, 5 x 20 mm, rýchla, 100mA</t>
        </is>
      </c>
      <c r="C1118" s="1" t="n">
        <v>0.15</v>
      </c>
      <c r="D1118" s="7" t="n">
        <f>HYPERLINK("https://www.somogyi.sk/product/poistka-5-x-20-mm-rychla-100ma-f100-ma-1738","https://www.somogyi.sk/product/poistka-5-x-20-mm-rychla-100ma-f100-ma-1738")</f>
        <v>0.0</v>
      </c>
      <c r="E1118" s="7" t="n">
        <f>HYPERLINK("https://www.somogyi.sk/productimages/product_main_images/small/01738.jpg","https://www.somogyi.sk/productimages/product_main_images/small/01738.jpg")</f>
        <v>0.0</v>
      </c>
      <c r="F1118" s="2" t="inlineStr">
        <is>
          <t>5998312701904</t>
        </is>
      </c>
      <c r="G1118" s="4" t="inlineStr">
        <is>
          <t xml:space="preserve"> • vlastnosť: rýchla 
 • rozmery: 5 x 20 mm 
 • napätie: 250 V~ 
 • prúd: 100 mA</t>
        </is>
      </c>
    </row>
    <row r="1119">
      <c r="A1119" s="3" t="inlineStr">
        <is>
          <t>F16 A</t>
        </is>
      </c>
      <c r="B1119" s="2" t="inlineStr">
        <is>
          <t>Poistka, 5x20mm, rýchla, 16A</t>
        </is>
      </c>
      <c r="C1119" s="1" t="n">
        <v>0.15</v>
      </c>
      <c r="D1119" s="7" t="n">
        <f>HYPERLINK("https://www.somogyi.sk/product/poistka-5x20mm-rychla-16a-f16-a-1741","https://www.somogyi.sk/product/poistka-5x20mm-rychla-16a-f16-a-1741")</f>
        <v>0.0</v>
      </c>
      <c r="E1119" s="7" t="n">
        <f>HYPERLINK("https://www.somogyi.sk/productimages/product_main_images/small/01741.jpg","https://www.somogyi.sk/productimages/product_main_images/small/01741.jpg")</f>
        <v>0.0</v>
      </c>
      <c r="F1119" s="2" t="inlineStr">
        <is>
          <t>5998312701935</t>
        </is>
      </c>
      <c r="G1119" s="4" t="inlineStr">
        <is>
          <t xml:space="preserve"> • vlastnosť: rýchla 
 • rozmery: 5 x 20 mm 
 • napätie: 250 V~ 
 • prúd: 16 A</t>
        </is>
      </c>
    </row>
    <row r="1120">
      <c r="A1120" s="3" t="inlineStr">
        <is>
          <t>F5 A</t>
        </is>
      </c>
      <c r="B1120" s="2" t="inlineStr">
        <is>
          <t>Poistka, 5 x 20 mm, rýchla, 5A</t>
        </is>
      </c>
      <c r="C1120" s="1" t="n">
        <v>0.15</v>
      </c>
      <c r="D1120" s="7" t="n">
        <f>HYPERLINK("https://www.somogyi.sk/product/poistka-5-x-20-mm-rychla-5a-f5-a-1751","https://www.somogyi.sk/product/poistka-5-x-20-mm-rychla-5a-f5-a-1751")</f>
        <v>0.0</v>
      </c>
      <c r="E1120" s="7" t="n">
        <f>HYPERLINK("https://www.somogyi.sk/productimages/product_main_images/small/01751.jpg","https://www.somogyi.sk/productimages/product_main_images/small/01751.jpg")</f>
        <v>0.0</v>
      </c>
      <c r="F1120" s="2" t="inlineStr">
        <is>
          <t>5998312702031</t>
        </is>
      </c>
      <c r="G1120" s="4" t="inlineStr">
        <is>
          <t xml:space="preserve"> • vlastnosť: rýchla 
 • rozmery: 5 x 20 mm 
 • napätie: 250 V~ 
 • prúd: 5 A</t>
        </is>
      </c>
    </row>
    <row r="1121">
      <c r="A1121" s="3" t="inlineStr">
        <is>
          <t>T6,3 A</t>
        </is>
      </c>
      <c r="B1121" s="2" t="inlineStr">
        <is>
          <t>Poistka, 5x20mm, pomalá, 6,3A</t>
        </is>
      </c>
      <c r="C1121" s="1" t="n">
        <v>0.24</v>
      </c>
      <c r="D1121" s="7" t="n">
        <f>HYPERLINK("https://www.somogyi.sk/product/poistka-5x20mm-pomala-6-3a-t6-3-a-1916","https://www.somogyi.sk/product/poistka-5x20mm-pomala-6-3a-t6-3-a-1916")</f>
        <v>0.0</v>
      </c>
      <c r="E1121" s="7" t="n">
        <f>HYPERLINK("https://www.somogyi.sk/productimages/product_main_images/small/01916.jpg","https://www.somogyi.sk/productimages/product_main_images/small/01916.jpg")</f>
        <v>0.0</v>
      </c>
      <c r="F1121" s="2" t="inlineStr">
        <is>
          <t>5998312704813</t>
        </is>
      </c>
      <c r="G1121" s="4" t="inlineStr">
        <is>
          <t xml:space="preserve"> • vlastnosť: pomalá 
 • rozmery: 5 x 20 mm 
 • napätie: 250 V~ 
 • prúd: 6,3 A</t>
        </is>
      </c>
    </row>
    <row r="1122">
      <c r="A1122" s="3" t="inlineStr">
        <is>
          <t>T500 MA</t>
        </is>
      </c>
      <c r="B1122" s="2" t="inlineStr">
        <is>
          <t>Poistka, 5x20mm, pomalá, 500mA</t>
        </is>
      </c>
      <c r="C1122" s="1" t="n">
        <v>0.24</v>
      </c>
      <c r="D1122" s="7" t="n">
        <f>HYPERLINK("https://www.somogyi.sk/product/poistka-5x20mm-pomala-500ma-t500-ma-2016","https://www.somogyi.sk/product/poistka-5x20mm-pomala-500ma-t500-ma-2016")</f>
        <v>0.0</v>
      </c>
      <c r="E1122" s="7" t="n">
        <f>HYPERLINK("https://www.somogyi.sk/productimages/product_main_images/small/02016.jpg","https://www.somogyi.sk/productimages/product_main_images/small/02016.jpg")</f>
        <v>0.0</v>
      </c>
      <c r="F1122" s="2" t="inlineStr">
        <is>
          <t>5998312718223</t>
        </is>
      </c>
      <c r="G1122" s="4" t="inlineStr">
        <is>
          <t xml:space="preserve"> • vlastnosť: pomalá 
 • rozmery: 5 x 20 mm 
 • napätie: 250 V~ 
 • prúd: 500 mA</t>
        </is>
      </c>
    </row>
    <row r="1123">
      <c r="A1123" s="3" t="inlineStr">
        <is>
          <t>T2 A</t>
        </is>
      </c>
      <c r="B1123" s="2" t="inlineStr">
        <is>
          <t>Poistka, 5x20mm, pomalá, 2A</t>
        </is>
      </c>
      <c r="C1123" s="1" t="n">
        <v>0.24</v>
      </c>
      <c r="D1123" s="7" t="n">
        <f>HYPERLINK("https://www.somogyi.sk/product/poistka-5x20mm-pomala-2a-t2-a-1911","https://www.somogyi.sk/product/poistka-5x20mm-pomala-2a-t2-a-1911")</f>
        <v>0.0</v>
      </c>
      <c r="E1123" s="7" t="n">
        <f>HYPERLINK("https://www.somogyi.sk/productimages/product_main_images/small/01911.jpg","https://www.somogyi.sk/productimages/product_main_images/small/01911.jpg")</f>
        <v>0.0</v>
      </c>
      <c r="F1123" s="2" t="inlineStr">
        <is>
          <t>5998312704745</t>
        </is>
      </c>
      <c r="G1123" s="4" t="inlineStr">
        <is>
          <t xml:space="preserve"> • vlastnosť: pomalá 
 • rozmery: 5 x 20 mm 
 • napätie: 250 V~ 
 • prúd: 2 A</t>
        </is>
      </c>
    </row>
    <row r="1124">
      <c r="A1124" s="3" t="inlineStr">
        <is>
          <t>F6,3 A</t>
        </is>
      </c>
      <c r="B1124" s="2" t="inlineStr">
        <is>
          <t>Poistka, 5 x 20 mm, rýchla, 6,3A</t>
        </is>
      </c>
      <c r="C1124" s="1" t="n">
        <v>0.15</v>
      </c>
      <c r="D1124" s="7" t="n">
        <f>HYPERLINK("https://www.somogyi.sk/product/poistka-5-x-20-mm-rychla-6-3a-f6-3-a-1733","https://www.somogyi.sk/product/poistka-5-x-20-mm-rychla-6-3a-f6-3-a-1733")</f>
        <v>0.0</v>
      </c>
      <c r="E1124" s="7" t="n">
        <f>HYPERLINK("https://www.somogyi.sk/productimages/product_main_images/small/01733.jpg","https://www.somogyi.sk/productimages/product_main_images/small/01733.jpg")</f>
        <v>0.0</v>
      </c>
      <c r="F1124" s="2" t="inlineStr">
        <is>
          <t>5998312701843</t>
        </is>
      </c>
      <c r="G1124" s="4" t="inlineStr">
        <is>
          <t xml:space="preserve"> • vlastnosť: rýchla 
 • rozmery: 5 x 20 mm 
 • napätie: 250 V~ 
 • prúd: 6,3 A</t>
        </is>
      </c>
    </row>
    <row r="1125">
      <c r="A1125" s="3" t="inlineStr">
        <is>
          <t>F10 A</t>
        </is>
      </c>
      <c r="B1125" s="2" t="inlineStr">
        <is>
          <t>Poistka, 5 x 20 mm, rýchla, 10A</t>
        </is>
      </c>
      <c r="C1125" s="1" t="n">
        <v>0.15</v>
      </c>
      <c r="D1125" s="7" t="n">
        <f>HYPERLINK("https://www.somogyi.sk/product/poistka-5-x-20-mm-rychla-10a-f10-a-1737","https://www.somogyi.sk/product/poistka-5-x-20-mm-rychla-10a-f10-a-1737")</f>
        <v>0.0</v>
      </c>
      <c r="E1125" s="7" t="n">
        <f>HYPERLINK("https://www.somogyi.sk/productimages/product_main_images/small/01737.jpg","https://www.somogyi.sk/productimages/product_main_images/small/01737.jpg")</f>
        <v>0.0</v>
      </c>
      <c r="F1125" s="2" t="inlineStr">
        <is>
          <t>5998312701898</t>
        </is>
      </c>
      <c r="G1125" s="4" t="inlineStr">
        <is>
          <t xml:space="preserve"> • vlastnosť: rýchla 
 • rozmery: 5 x 20 mm 
 • napätie: 250 V~ 
 • prúd: 10 A</t>
        </is>
      </c>
    </row>
    <row r="1126">
      <c r="A1126" s="3" t="inlineStr">
        <is>
          <t>F1,6 A</t>
        </is>
      </c>
      <c r="B1126" s="2" t="inlineStr">
        <is>
          <t>Poistka, 5 x 20 mm, rýchla, 1,6A</t>
        </is>
      </c>
      <c r="C1126" s="1" t="n">
        <v>0.15</v>
      </c>
      <c r="D1126" s="7" t="n">
        <f>HYPERLINK("https://www.somogyi.sk/product/poistka-5-x-20-mm-rychla-1-6a-f1-6-a-1736","https://www.somogyi.sk/product/poistka-5-x-20-mm-rychla-1-6a-f1-6-a-1736")</f>
        <v>0.0</v>
      </c>
      <c r="E1126" s="7" t="n">
        <f>HYPERLINK("https://www.somogyi.sk/productimages/product_main_images/small/01736.jpg","https://www.somogyi.sk/productimages/product_main_images/small/01736.jpg")</f>
        <v>0.0</v>
      </c>
      <c r="F1126" s="2" t="inlineStr">
        <is>
          <t>5998312701881</t>
        </is>
      </c>
      <c r="G1126" s="4" t="inlineStr">
        <is>
          <t xml:space="preserve"> • vlastnosť: rýchla 
 • rozmery: 5 x 20 mm 
 • napätie: 250 V~ 
 • prúd: 1,6 A</t>
        </is>
      </c>
    </row>
    <row r="1127">
      <c r="A1127" s="3" t="inlineStr">
        <is>
          <t>F500 MA</t>
        </is>
      </c>
      <c r="B1127" s="2" t="inlineStr">
        <is>
          <t>Poistka, 5 x 20 mm, rýchla, 500mA</t>
        </is>
      </c>
      <c r="C1127" s="1" t="n">
        <v>0.15</v>
      </c>
      <c r="D1127" s="7" t="n">
        <f>HYPERLINK("https://www.somogyi.sk/product/poistka-5-x-20-mm-rychla-500ma-f500-ma-1752","https://www.somogyi.sk/product/poistka-5-x-20-mm-rychla-500ma-f500-ma-1752")</f>
        <v>0.0</v>
      </c>
      <c r="E1127" s="7" t="n">
        <f>HYPERLINK("https://www.somogyi.sk/productimages/product_main_images/small/01752.jpg","https://www.somogyi.sk/productimages/product_main_images/small/01752.jpg")</f>
        <v>0.0</v>
      </c>
      <c r="F1127" s="2" t="inlineStr">
        <is>
          <t>5998312702048</t>
        </is>
      </c>
      <c r="G1127" s="4" t="inlineStr">
        <is>
          <t xml:space="preserve"> • vlastnosť: rýchla 
 • rozmery: 5 x 20 mm 
 • napätie: 250 V~ 
 • prúd: 500 mA</t>
        </is>
      </c>
    </row>
    <row r="1128">
      <c r="A1128" s="3" t="inlineStr">
        <is>
          <t>F1 A</t>
        </is>
      </c>
      <c r="B1128" s="2" t="inlineStr">
        <is>
          <t>Poistka, 5 x 20 mm, rýchla, 1A</t>
        </is>
      </c>
      <c r="C1128" s="1" t="n">
        <v>0.15</v>
      </c>
      <c r="D1128" s="7" t="n">
        <f>HYPERLINK("https://www.somogyi.sk/product/poistka-5-x-20-mm-rychla-1a-f1-a-1734","https://www.somogyi.sk/product/poistka-5-x-20-mm-rychla-1a-f1-a-1734")</f>
        <v>0.0</v>
      </c>
      <c r="E1128" s="7" t="n">
        <f>HYPERLINK("https://www.somogyi.sk/productimages/product_main_images/small/01734.jpg","https://www.somogyi.sk/productimages/product_main_images/small/01734.jpg")</f>
        <v>0.0</v>
      </c>
      <c r="F1128" s="2" t="inlineStr">
        <is>
          <t>5998312701867</t>
        </is>
      </c>
      <c r="G1128" s="4" t="inlineStr">
        <is>
          <t xml:space="preserve"> • vlastnosť: rýchla 
 • rozmery: 5 x 20 mm 
 • napätie: 250 V~ 
 • prúd: 1 A</t>
        </is>
      </c>
    </row>
    <row r="1129">
      <c r="A1129" s="3" t="inlineStr">
        <is>
          <t>F2 A</t>
        </is>
      </c>
      <c r="B1129" s="2" t="inlineStr">
        <is>
          <t>Poistka, 5 x 20 mm, rýchla, 2A</t>
        </is>
      </c>
      <c r="C1129" s="1" t="n">
        <v>0.15</v>
      </c>
      <c r="D1129" s="7" t="n">
        <f>HYPERLINK("https://www.somogyi.sk/product/poistka-5-x-20-mm-rychla-2a-f2-a-1743","https://www.somogyi.sk/product/poistka-5-x-20-mm-rychla-2a-f2-a-1743")</f>
        <v>0.0</v>
      </c>
      <c r="E1129" s="7" t="n">
        <f>HYPERLINK("https://www.somogyi.sk/productimages/product_main_images/small/01743.jpg","https://www.somogyi.sk/productimages/product_main_images/small/01743.jpg")</f>
        <v>0.0</v>
      </c>
      <c r="F1129" s="2" t="inlineStr">
        <is>
          <t>5998312701959</t>
        </is>
      </c>
      <c r="G1129" s="4" t="inlineStr">
        <is>
          <t xml:space="preserve"> • vlastnosť: rýchla 
 • rozmery: 5 x 20 mm 
 • napätie: 250 V~ 
 • prúd: 2 A</t>
        </is>
      </c>
    </row>
    <row r="1130">
      <c r="A1130" s="3" t="inlineStr">
        <is>
          <t>F2,5 A</t>
        </is>
      </c>
      <c r="B1130" s="2" t="inlineStr">
        <is>
          <t>Poistka, 5 x 20 mm, rýchla, 2,5A</t>
        </is>
      </c>
      <c r="C1130" s="1" t="n">
        <v>0.15</v>
      </c>
      <c r="D1130" s="7" t="n">
        <f>HYPERLINK("https://www.somogyi.sk/product/poistka-5-x-20-mm-rychla-2-5a-f2-5-a-1744","https://www.somogyi.sk/product/poistka-5-x-20-mm-rychla-2-5a-f2-5-a-1744")</f>
        <v>0.0</v>
      </c>
      <c r="E1130" s="7" t="n">
        <f>HYPERLINK("https://www.somogyi.sk/productimages/product_main_images/small/01744.jpg","https://www.somogyi.sk/productimages/product_main_images/small/01744.jpg")</f>
        <v>0.0</v>
      </c>
      <c r="F1130" s="2" t="inlineStr">
        <is>
          <t>5998312701966</t>
        </is>
      </c>
      <c r="G1130" s="4" t="inlineStr">
        <is>
          <t xml:space="preserve"> • vlastnosť: rýchla 
 • rozmery: 5 x 20 mm 
 • napätie: 250 V~ 
 • prúd: 2,5 A</t>
        </is>
      </c>
    </row>
    <row r="1131">
      <c r="A1131" s="3" t="inlineStr">
        <is>
          <t>F3,15 A</t>
        </is>
      </c>
      <c r="B1131" s="2" t="inlineStr">
        <is>
          <t>Poistka, 5 x 20 mm, rýchla, 3,15A</t>
        </is>
      </c>
      <c r="C1131" s="1" t="n">
        <v>0.15</v>
      </c>
      <c r="D1131" s="7" t="n">
        <f>HYPERLINK("https://www.somogyi.sk/product/poistka-5-x-20-mm-rychla-3-15a-f3-15-a-1747","https://www.somogyi.sk/product/poistka-5-x-20-mm-rychla-3-15a-f3-15-a-1747")</f>
        <v>0.0</v>
      </c>
      <c r="E1131" s="7" t="n">
        <f>HYPERLINK("https://www.somogyi.sk/productimages/product_main_images/small/01747.jpg","https://www.somogyi.sk/productimages/product_main_images/small/01747.jpg")</f>
        <v>0.0</v>
      </c>
      <c r="F1131" s="2" t="inlineStr">
        <is>
          <t>5998312701997</t>
        </is>
      </c>
      <c r="G1131" s="4" t="inlineStr">
        <is>
          <t xml:space="preserve"> • vlastnosť: rýchla 
 • rozmery: 5 x 20 mm 
 • napätie: 250 V~ 
 • prúd: 3,15 A</t>
        </is>
      </c>
    </row>
    <row r="1132">
      <c r="A1132" s="3" t="inlineStr">
        <is>
          <t>T4 A</t>
        </is>
      </c>
      <c r="B1132" s="2" t="inlineStr">
        <is>
          <t>Poistka, 5x20mm, pomalá, 4A</t>
        </is>
      </c>
      <c r="C1132" s="1" t="n">
        <v>0.24</v>
      </c>
      <c r="D1132" s="7" t="n">
        <f>HYPERLINK("https://www.somogyi.sk/product/poistka-5x20mm-pomala-4a-t4-a-1914","https://www.somogyi.sk/product/poistka-5x20mm-pomala-4a-t4-a-1914")</f>
        <v>0.0</v>
      </c>
      <c r="E1132" s="7" t="n">
        <f>HYPERLINK("https://www.somogyi.sk/productimages/product_main_images/small/01914.jpg","https://www.somogyi.sk/productimages/product_main_images/small/01914.jpg")</f>
        <v>0.0</v>
      </c>
      <c r="F1132" s="2" t="inlineStr">
        <is>
          <t>5998312704783</t>
        </is>
      </c>
      <c r="G1132" s="4" t="inlineStr">
        <is>
          <t xml:space="preserve"> • vlastnosť: pomalá 
 • rozmery: 5 x 20 mm 
 • napätie: 250 V~ 
 • prúd: 4 A</t>
        </is>
      </c>
    </row>
    <row r="1133">
      <c r="A1133" s="3" t="inlineStr">
        <is>
          <t>T3,15 A</t>
        </is>
      </c>
      <c r="B1133" s="2" t="inlineStr">
        <is>
          <t>Poistka, 5x20mm, pomalá, 3,15A</t>
        </is>
      </c>
      <c r="C1133" s="1" t="n">
        <v>0.24</v>
      </c>
      <c r="D1133" s="7" t="n">
        <f>HYPERLINK("https://www.somogyi.sk/product/poistka-5x20mm-pomala-3-15a-t3-15-a-1913","https://www.somogyi.sk/product/poistka-5x20mm-pomala-3-15a-t3-15-a-1913")</f>
        <v>0.0</v>
      </c>
      <c r="E1133" s="7" t="n">
        <f>HYPERLINK("https://www.somogyi.sk/productimages/product_main_images/small/01913.jpg","https://www.somogyi.sk/productimages/product_main_images/small/01913.jpg")</f>
        <v>0.0</v>
      </c>
      <c r="F1133" s="2" t="inlineStr">
        <is>
          <t>5998312704776</t>
        </is>
      </c>
      <c r="G1133" s="4" t="inlineStr">
        <is>
          <t xml:space="preserve"> • vlastnosť: pomalá 
 • rozmery: 5 x 20 mm 
 • napätie: 250 V~ 
 • prúd: 3,15 A</t>
        </is>
      </c>
    </row>
    <row r="1134">
      <c r="A1134" s="3" t="inlineStr">
        <is>
          <t>F8 A</t>
        </is>
      </c>
      <c r="B1134" s="2" t="inlineStr">
        <is>
          <t>Poistka, 5 x 20 mm, rýchla, 8A</t>
        </is>
      </c>
      <c r="C1134" s="1" t="n">
        <v>0.15</v>
      </c>
      <c r="D1134" s="7" t="n">
        <f>HYPERLINK("https://www.somogyi.sk/product/poistka-5-x-20-mm-rychla-8a-f8-a-1754","https://www.somogyi.sk/product/poistka-5-x-20-mm-rychla-8a-f8-a-1754")</f>
        <v>0.0</v>
      </c>
      <c r="E1134" s="7" t="n">
        <f>HYPERLINK("https://www.somogyi.sk/productimages/product_main_images/small/01754.jpg","https://www.somogyi.sk/productimages/product_main_images/small/01754.jpg")</f>
        <v>0.0</v>
      </c>
      <c r="F1134" s="2" t="inlineStr">
        <is>
          <t>5998312702079</t>
        </is>
      </c>
      <c r="G1134" s="4" t="inlineStr">
        <is>
          <t xml:space="preserve"> • vlastnosť: rýchla 
 • rozmery: 5 x 20 mm 
 • napätie: 250 V~ 
 • prúd: 8 A</t>
        </is>
      </c>
    </row>
    <row r="1135">
      <c r="A1135" s="3" t="inlineStr">
        <is>
          <t>T1 A</t>
        </is>
      </c>
      <c r="B1135" s="2" t="inlineStr">
        <is>
          <t>Poistka, 5x20mm, pomalá, 1A</t>
        </is>
      </c>
      <c r="C1135" s="1" t="n">
        <v>0.24</v>
      </c>
      <c r="D1135" s="7" t="n">
        <f>HYPERLINK("https://www.somogyi.sk/product/poistka-5x20mm-pomala-1a-t1-a-1908","https://www.somogyi.sk/product/poistka-5x20mm-pomala-1a-t1-a-1908")</f>
        <v>0.0</v>
      </c>
      <c r="E1135" s="7" t="n">
        <f>HYPERLINK("https://www.somogyi.sk/productimages/product_main_images/small/01908.jpg","https://www.somogyi.sk/productimages/product_main_images/small/01908.jpg")</f>
        <v>0.0</v>
      </c>
      <c r="F1135" s="2" t="inlineStr">
        <is>
          <t>5998312704714</t>
        </is>
      </c>
      <c r="G1135" s="4" t="inlineStr">
        <is>
          <t xml:space="preserve"> • vlastnosť: pomalá 
 • rozmery: 5 x 20 mm 
 • napätie: 250 V~ 
 • prúd: 1 A</t>
        </is>
      </c>
    </row>
    <row r="1136">
      <c r="A1136" s="6" t="inlineStr">
        <is>
          <t xml:space="preserve">   Audio-video doplnky / Spínač, tlačidlo</t>
        </is>
      </c>
      <c r="B1136" s="6" t="inlineStr">
        <is>
          <t/>
        </is>
      </c>
      <c r="C1136" s="6" t="inlineStr">
        <is>
          <t/>
        </is>
      </c>
      <c r="D1136" s="6" t="inlineStr">
        <is>
          <t/>
        </is>
      </c>
      <c r="E1136" s="6" t="inlineStr">
        <is>
          <t/>
        </is>
      </c>
      <c r="F1136" s="6" t="inlineStr">
        <is>
          <t/>
        </is>
      </c>
      <c r="G1136" s="6" t="inlineStr">
        <is>
          <t/>
        </is>
      </c>
    </row>
    <row r="1137">
      <c r="A1137" s="3" t="inlineStr">
        <is>
          <t>SP 12/GR</t>
        </is>
      </c>
      <c r="B1137" s="2" t="inlineStr">
        <is>
          <t>Tlačidlo, 250V, 1 el.obvod, zelené, uzatváracie</t>
        </is>
      </c>
      <c r="C1137" s="1" t="n">
        <v>1.69</v>
      </c>
      <c r="D1137" s="7" t="n">
        <f>HYPERLINK("https://www.somogyi.sk/product/tlacidlo-250v-1-el-obvod-zelene-uzatvaracie-sp-12-gr-2793","https://www.somogyi.sk/product/tlacidlo-250v-1-el-obvod-zelene-uzatvaracie-sp-12-gr-2793")</f>
        <v>0.0</v>
      </c>
      <c r="E1137" s="7" t="n">
        <f>HYPERLINK("https://www.somogyi.sk/productimages/product_main_images/small/02793.jpg","https://www.somogyi.sk/productimages/product_main_images/small/02793.jpg")</f>
        <v>0.0</v>
      </c>
      <c r="F1137" s="2" t="inlineStr">
        <is>
          <t>5998312731178</t>
        </is>
      </c>
      <c r="G1137" s="4" t="inlineStr">
        <is>
          <t xml:space="preserve"> • typ tlačidla: tlačidlo ON / OFF 
 • počet spínaných elektrických obvodov: 1 
 • pozície spínača: 2 
 • max. napätie: 250 V~ 
 • max. prúd: 1,5 A 
 • rozmery: Ø 14 mm 
 • montážne rozmery: Ø 13 mm 
 • montážna hĺbka: 21 mm 
 • počet svoriek: 2 
 • šírka svoriek: 2 mm 
 • farba spínača: zelená</t>
        </is>
      </c>
    </row>
    <row r="1138">
      <c r="A1138" s="3" t="inlineStr">
        <is>
          <t>STV 07</t>
        </is>
      </c>
      <c r="B1138" s="2" t="inlineStr">
        <is>
          <t>Osvetlený kolískový vypínač, 250V, 1 el.obvod, červený</t>
        </is>
      </c>
      <c r="C1138" s="1" t="n">
        <v>2.29</v>
      </c>
      <c r="D1138" s="7" t="n">
        <f>HYPERLINK("https://www.somogyi.sk/product/osvetleny-koliskovy-vypinac-250v-1-el-obvod-cerveny-stv-07-2641","https://www.somogyi.sk/product/osvetleny-koliskovy-vypinac-250v-1-el-obvod-cerveny-stv-07-2641")</f>
        <v>0.0</v>
      </c>
      <c r="E1138" s="7" t="n">
        <f>HYPERLINK("https://www.somogyi.sk/productimages/product_main_images/small/02641.jpg","https://www.somogyi.sk/productimages/product_main_images/small/02641.jpg")</f>
        <v>0.0</v>
      </c>
      <c r="F1138" s="2" t="inlineStr">
        <is>
          <t>5998312729595</t>
        </is>
      </c>
      <c r="G1138" s="4" t="inlineStr">
        <is>
          <t xml:space="preserve"> • typ tlačidla: kolískový spínač 
 • počet spínaných elektrických obvodov: 1 
 • pozície spínača: 2 
 • max. napätie: 250 V~ 
 • max. prúd: 6 A 
 • rozmery: Ø 23 mm 
 • montážne rozmery: Ø 21 mm 
 • montážna hĺbka: 24 mm 
 • počet svoriek: 3 
 • šírka svoriek: 4,8 mm 
 • podsvietenie spínača: glim 
 • napájanie podsvietenia: 230 V~ 
 • farba spínača: červená</t>
        </is>
      </c>
    </row>
    <row r="1139">
      <c r="A1139" s="3" t="inlineStr">
        <is>
          <t>STV 08</t>
        </is>
      </c>
      <c r="B1139" s="2" t="inlineStr">
        <is>
          <t>Osvetlený kolískový vypínač, 250V, 1 el.obvod, zelený</t>
        </is>
      </c>
      <c r="C1139" s="1" t="n">
        <v>2.29</v>
      </c>
      <c r="D1139" s="7" t="n">
        <f>HYPERLINK("https://www.somogyi.sk/product/osvetleny-koliskovy-vypinac-250v-1-el-obvod-zeleny-stv-08-2642","https://www.somogyi.sk/product/osvetleny-koliskovy-vypinac-250v-1-el-obvod-zeleny-stv-08-2642")</f>
        <v>0.0</v>
      </c>
      <c r="E1139" s="7" t="n">
        <f>HYPERLINK("https://www.somogyi.sk/productimages/product_main_images/small/02642.jpg","https://www.somogyi.sk/productimages/product_main_images/small/02642.jpg")</f>
        <v>0.0</v>
      </c>
      <c r="F1139" s="2" t="inlineStr">
        <is>
          <t>5998312729601</t>
        </is>
      </c>
      <c r="G1139" s="4" t="inlineStr">
        <is>
          <t xml:space="preserve"> • typ tlačidla: kolískový spínač 
 • počet spínaných elektrických obvodov: 1 
 • pozície spínača: 2 
 • max. napätie: 250 V~ 
 • max. prúd: 6 A 
 • rozmery: Ø 23 mm 
 • montážne rozmery: Ø 21 mm 
 • montážna hĺbka: 24 mm 
 • počet svoriek: 3 
 • šírka svoriek: 4,8 mm 
 • podsvietenie spínača: glim 
 • napájanie podsvietenia: 230 V~ 
 • farba spínača: zelená</t>
        </is>
      </c>
    </row>
    <row r="1140">
      <c r="A1140" s="3" t="inlineStr">
        <is>
          <t>STV 11</t>
        </is>
      </c>
      <c r="B1140" s="2" t="inlineStr">
        <is>
          <t>Osvetlený kolískový vypínač, 250V, 1 el.obvod, červený</t>
        </is>
      </c>
      <c r="C1140" s="1" t="n">
        <v>2.09</v>
      </c>
      <c r="D1140" s="7" t="n">
        <f>HYPERLINK("https://www.somogyi.sk/product/osvetleny-koliskovy-vypinac-250v-1-el-obvod-cerveny-stv-11-2644","https://www.somogyi.sk/product/osvetleny-koliskovy-vypinac-250v-1-el-obvod-cerveny-stv-11-2644")</f>
        <v>0.0</v>
      </c>
      <c r="E1140" s="7" t="n">
        <f>HYPERLINK("https://www.somogyi.sk/productimages/product_main_images/small/02644.jpg","https://www.somogyi.sk/productimages/product_main_images/small/02644.jpg")</f>
        <v>0.0</v>
      </c>
      <c r="F1140" s="2" t="inlineStr">
        <is>
          <t>5998312729625</t>
        </is>
      </c>
      <c r="G1140" s="4" t="inlineStr">
        <is>
          <t xml:space="preserve"> • typ tlačidla: kolískový spínač 
 • počet spínaných elektrických obvodov: 1 
 • pozície spínača: 2 
 • max. napätie: 250 V~ 
 • max. prúd: 6 A 
 • rozmery: Ø 23 mm 
 • montážne rozmery: Ø 21 mm 
 • montážna hĺbka: 24 mm 
 • počet svoriek: 3 
 • šírka svoriek: 4,8 mm 
 • podsvietenie spínača: glim 
 • napájanie podsvietenia: 230 V~ 
 • farba spínača: červená</t>
        </is>
      </c>
    </row>
    <row r="1141">
      <c r="A1141" s="3" t="inlineStr">
        <is>
          <t>STV 12</t>
        </is>
      </c>
      <c r="B1141" s="2" t="inlineStr">
        <is>
          <t>Osvetlený kolískový vypínač, 250V, 1 el.obvod, zelený</t>
        </is>
      </c>
      <c r="C1141" s="1" t="n">
        <v>2.29</v>
      </c>
      <c r="D1141" s="7" t="n">
        <f>HYPERLINK("https://www.somogyi.sk/product/osvetleny-koliskovy-vypinac-250v-1-el-obvod-zeleny-stv-12-2645","https://www.somogyi.sk/product/osvetleny-koliskovy-vypinac-250v-1-el-obvod-zeleny-stv-12-2645")</f>
        <v>0.0</v>
      </c>
      <c r="E1141" s="7" t="n">
        <f>HYPERLINK("https://www.somogyi.sk/productimages/product_main_images/small/02645.jpg","https://www.somogyi.sk/productimages/product_main_images/small/02645.jpg")</f>
        <v>0.0</v>
      </c>
      <c r="F1141" s="2" t="inlineStr">
        <is>
          <t>5998312729632</t>
        </is>
      </c>
      <c r="G1141" s="4" t="inlineStr">
        <is>
          <t xml:space="preserve"> • typ tlačidla: kolískový spínač 
 • počet spínaných elektrických obvodov: 1 
 • pozície spínača: 2 
 • max. napätie: 250 V~ 
 • max. prúd: 6 A 
 • rozmery: Ø 23 mm 
 • montážne rozmery: Ø 21 mm 
 • montážna hĺbka: 24 mm 
 • počet svoriek: 3 
 • šírka svoriek: 4,8 mm 
 • podsvietenie spínača: glim 
 • napájanie podsvietenia: 230 V~ 
 • farba spínača: zelená</t>
        </is>
      </c>
    </row>
    <row r="1142">
      <c r="A1142" s="3" t="inlineStr">
        <is>
          <t>ST 22</t>
        </is>
      </c>
      <c r="B1142" s="2" t="inlineStr">
        <is>
          <t>Páčkový spínač, 250V, 1 el.obvod, 3 polohový, páčkový, prepínací</t>
        </is>
      </c>
      <c r="C1142" s="1" t="n">
        <v>3.09</v>
      </c>
      <c r="D1142" s="7" t="n">
        <f>HYPERLINK("https://www.somogyi.sk/product/packovy-spinac-250v-1-el-obvod-3-polohovy-packovy-prepinaci-st-22-2799","https://www.somogyi.sk/product/packovy-spinac-250v-1-el-obvod-3-polohovy-packovy-prepinaci-st-22-2799")</f>
        <v>0.0</v>
      </c>
      <c r="E1142" s="7" t="n">
        <f>HYPERLINK("https://www.somogyi.sk/productimages/product_main_images/small/02799.jpg","https://www.somogyi.sk/productimages/product_main_images/small/02799.jpg")</f>
        <v>0.0</v>
      </c>
      <c r="F1142" s="2" t="inlineStr">
        <is>
          <t>5998312731239</t>
        </is>
      </c>
      <c r="G1142" s="4" t="inlineStr">
        <is>
          <t xml:space="preserve"> • typ tlačidla: kolískový spínač 
 • počet spínaných elektrických obvodov: 1 (prepínač) 
 • pozície spínača: 3 
 • max. napätie: 250 V~ 
 • max. prúd: 6 A 
 • rozmery: 29 x 16 mm 
 • montážne rozmery: Ø 11,5 mm 
 • montážna hĺbka: 28,2 mm 
 • počet svoriek: 3 
 • šírka svoriek: 6,3 mm 
 • farba spínača: -</t>
        </is>
      </c>
    </row>
    <row r="1143">
      <c r="A1143" s="3" t="inlineStr">
        <is>
          <t>ST 21</t>
        </is>
      </c>
      <c r="B1143" s="2" t="inlineStr">
        <is>
          <t>Páčkový spínač, 250V, 1 el.obvod, páčkový, prepínací</t>
        </is>
      </c>
      <c r="C1143" s="1" t="n">
        <v>3.09</v>
      </c>
      <c r="D1143" s="7" t="n">
        <f>HYPERLINK("https://www.somogyi.sk/product/packovy-spinac-250v-1-el-obvod-packovy-prepinaci-st-21-2798","https://www.somogyi.sk/product/packovy-spinac-250v-1-el-obvod-packovy-prepinaci-st-21-2798")</f>
        <v>0.0</v>
      </c>
      <c r="E1143" s="7" t="n">
        <f>HYPERLINK("https://www.somogyi.sk/productimages/product_main_images/small/02798.jpg","https://www.somogyi.sk/productimages/product_main_images/small/02798.jpg")</f>
        <v>0.0</v>
      </c>
      <c r="F1143" s="2" t="inlineStr">
        <is>
          <t>5998312731222</t>
        </is>
      </c>
      <c r="G1143" s="4" t="inlineStr">
        <is>
          <t xml:space="preserve"> • typ tlačidla: kolískový spínač 
 • počet spínaných elektrických obvodov: 1 (prepínač) 
 • pozície spínača: 2 
 • max. napätie: 250 V~ 
 • max. prúd: 6 A 
 • rozmery: 29 x 16 mm 
 • montážne rozmery: Ø 11,5 mm 
 • montážna hĺbka: 28,2 mm 
 • počet svoriek: 3 
 • šírka svoriek: 6,3 mm 
 • farba spínača: -</t>
        </is>
      </c>
    </row>
    <row r="1144">
      <c r="A1144" s="3" t="inlineStr">
        <is>
          <t>STV 04</t>
        </is>
      </c>
      <c r="B1144" s="2" t="inlineStr">
        <is>
          <t>Osvetlený kolískový vypínač, 250V, 1 el.obvod, zelený</t>
        </is>
      </c>
      <c r="C1144" s="1" t="n">
        <v>2.99</v>
      </c>
      <c r="D1144" s="7" t="n">
        <f>HYPERLINK("https://www.somogyi.sk/product/osvetleny-koliskovy-vypinac-250v-1-el-obvod-zeleny-stv-04-2047","https://www.somogyi.sk/product/osvetleny-koliskovy-vypinac-250v-1-el-obvod-zeleny-stv-04-2047")</f>
        <v>0.0</v>
      </c>
      <c r="E1144" s="7" t="n">
        <f>HYPERLINK("https://www.somogyi.sk/productimages/product_main_images/small/02047.jpg","https://www.somogyi.sk/productimages/product_main_images/small/02047.jpg")</f>
        <v>0.0</v>
      </c>
      <c r="F1144" s="2" t="inlineStr">
        <is>
          <t>5998312722480</t>
        </is>
      </c>
      <c r="G1144" s="4" t="inlineStr">
        <is>
          <t xml:space="preserve"> • typ tlačidla: kolískový spínač 
 • počet spínaných elektrických obvodov: 1 
 • pozície spínača: 2 
 • max. napätie: 250 V~ 
 • max. prúd: 10 A 
 • rozmery: 34 x 14 mm 
 • montážne rozmery: 31 x 11 mm 
 • montážna hĺbka: 26,6 mm 
 • počet svoriek: 3 
 • šírka svoriek: 6,3 mm 
 • podsvietenie spínača: glim 
 • napájanie podsvietenia: 230 V~ 
 • farba spínača: zelená</t>
        </is>
      </c>
    </row>
    <row r="1145">
      <c r="A1145" s="3" t="inlineStr">
        <is>
          <t>AK 11</t>
        </is>
      </c>
      <c r="B1145" s="2" t="inlineStr">
        <is>
          <t>Osvetlený kolískový vypínač, 12V, 1 el.obvod, červený</t>
        </is>
      </c>
      <c r="C1145" s="1" t="n">
        <v>2.09</v>
      </c>
      <c r="D1145" s="7" t="n">
        <f>HYPERLINK("https://www.somogyi.sk/product/osvetleny-koliskovy-vypinac-12v-1-el-obvod-cerveny-ak-11-3002","https://www.somogyi.sk/product/osvetleny-koliskovy-vypinac-12v-1-el-obvod-cerveny-ak-11-3002")</f>
        <v>0.0</v>
      </c>
      <c r="E1145" s="7" t="n">
        <f>HYPERLINK("https://www.somogyi.sk/productimages/product_main_images/small/03002.jpg","https://www.somogyi.sk/productimages/product_main_images/small/03002.jpg")</f>
        <v>0.0</v>
      </c>
      <c r="F1145" s="2" t="inlineStr">
        <is>
          <t>5998312733264</t>
        </is>
      </c>
      <c r="G1145" s="4" t="inlineStr">
        <is>
          <t xml:space="preserve"> • typ tlačidla: kolískový spínač 
 • počet spínaných elektrických obvodov: 1 
 • pozície spínača: 2 
 • max. napätie: 14 V 
 • max. prúd: 20 A 
 • rozmery: Ø 23 mm 
 • montážne rozmery: Ø 20 mm 
 • montážna hĺbka: 23,5 mm 
 • počet svoriek: 3 
 • šírka svoriek: 4,8 mm 
 • podsvietenie spínača: červená LED 
 • napájanie podsvietenia: 12 V 
 • farba spínača: červená</t>
        </is>
      </c>
    </row>
    <row r="1146">
      <c r="A1146" s="3" t="inlineStr">
        <is>
          <t>AK 01</t>
        </is>
      </c>
      <c r="B1146" s="2" t="inlineStr">
        <is>
          <t>Osvetlený kolískový vypínač, 12V, 1 el.obvod, červený</t>
        </is>
      </c>
      <c r="C1146" s="1" t="n">
        <v>2.09</v>
      </c>
      <c r="D1146" s="7" t="n">
        <f>HYPERLINK("https://www.somogyi.sk/product/osvetleny-koliskovy-vypinac-12v-1-el-obvod-cerveny-ak-01-2791","https://www.somogyi.sk/product/osvetleny-koliskovy-vypinac-12v-1-el-obvod-cerveny-ak-01-2791")</f>
        <v>0.0</v>
      </c>
      <c r="E1146" s="7" t="n">
        <f>HYPERLINK("https://www.somogyi.sk/productimages/product_main_images/small/02791.jpg","https://www.somogyi.sk/productimages/product_main_images/small/02791.jpg")</f>
        <v>0.0</v>
      </c>
      <c r="F1146" s="2" t="inlineStr">
        <is>
          <t>5998312731154</t>
        </is>
      </c>
      <c r="G1146" s="4" t="inlineStr">
        <is>
          <t xml:space="preserve"> • typ tlačidla: kolískový spínač 
 • počet spínaných elektrických obvodov: 1 
 • pozície spínača: 2 
 • max. napätie: 12 V 
 • max. prúd: 20 A 
 • rozmery: 25 x 14 mm 
 • montážne rozmery: Ø 12 mm 
 • montážna hĺbka: 28 mm 
 • počet svoriek: 3 
 • šírka svoriek: 6,3 mm 
 • podsvietenie spínača: žiarovka 
 • napájanie podsvietenia: 12 V 
 • farba spínača: červená</t>
        </is>
      </c>
    </row>
    <row r="1147">
      <c r="A1147" s="3" t="inlineStr">
        <is>
          <t>STV 06</t>
        </is>
      </c>
      <c r="B1147" s="2" t="inlineStr">
        <is>
          <t>Osvetlený kolískový vypínač, 250V, 2 el.obvody, zelený</t>
        </is>
      </c>
      <c r="C1147" s="1" t="n">
        <v>2.39</v>
      </c>
      <c r="D1147" s="7" t="n">
        <f>HYPERLINK("https://www.somogyi.sk/product/osvetleny-koliskovy-vypinac-250v-2-el-obvody-zeleny-stv-06-2045","https://www.somogyi.sk/product/osvetleny-koliskovy-vypinac-250v-2-el-obvody-zeleny-stv-06-2045")</f>
        <v>0.0</v>
      </c>
      <c r="E1147" s="7" t="n">
        <f>HYPERLINK("https://www.somogyi.sk/productimages/product_main_images/small/02045.jpg","https://www.somogyi.sk/productimages/product_main_images/small/02045.jpg")</f>
        <v>0.0</v>
      </c>
      <c r="F1147" s="2" t="inlineStr">
        <is>
          <t>5998312722442</t>
        </is>
      </c>
      <c r="G1147" s="4" t="inlineStr">
        <is>
          <t xml:space="preserve"> • typ tlačidla: kolískový spínač 
 • počet spínaných elektrických obvodov: 2 
 • pozície spínača: 2 
 • max. napätie: 250 V~ 
 • max. prúd: 6 A 
 • rozmery: 21 x 15 mm 
 • montážne rozmery: 20 x 13 mm 
 • montážna hĺbka: 22 mm 
 • počet svoriek: 4 
 • šírka svoriek: 4,8 mm 
 • podsvietenie spínača: glim 
 • napájanie podsvietenia: 230 V~ 
 • farba spínača: zelená</t>
        </is>
      </c>
    </row>
    <row r="1148">
      <c r="A1148" s="3" t="inlineStr">
        <is>
          <t>AK 12</t>
        </is>
      </c>
      <c r="B1148" s="2" t="inlineStr">
        <is>
          <t>Osvetlený kolískový vypínač, 12V, 1 el.obvod, zelený</t>
        </is>
      </c>
      <c r="C1148" s="1" t="n">
        <v>2.09</v>
      </c>
      <c r="D1148" s="7" t="n">
        <f>HYPERLINK("https://www.somogyi.sk/product/osvetleny-koliskovy-vypinac-12v-1-el-obvod-zeleny-ak-12-3003","https://www.somogyi.sk/product/osvetleny-koliskovy-vypinac-12v-1-el-obvod-zeleny-ak-12-3003")</f>
        <v>0.0</v>
      </c>
      <c r="E1148" s="7" t="n">
        <f>HYPERLINK("https://www.somogyi.sk/productimages/product_main_images/small/03003.jpg","https://www.somogyi.sk/productimages/product_main_images/small/03003.jpg")</f>
        <v>0.0</v>
      </c>
      <c r="F1148" s="2" t="inlineStr">
        <is>
          <t>5998312733271</t>
        </is>
      </c>
      <c r="G1148" s="4" t="inlineStr">
        <is>
          <t xml:space="preserve"> • typ tlačidla: kolískový spínač 
 • počet spínaných elektrických obvodov: 1 
 • pozície spínača: 2 
 • max. napätie: 14 V 
 • max. prúd: 20 A 
 • rozmery: Ø 23 mm 
 • montážne rozmery: Ø 20 mm 
 • montážna hĺbka: 23,5 mm 
 • počet svoriek: 3 
 • šírka svoriek: 4,8 mm 
 • podsvietenie spínača: zelená LED 
 • napájanie podsvietenia: 12 V 
 • farba spínača: zelená</t>
        </is>
      </c>
    </row>
    <row r="1149">
      <c r="A1149" s="3" t="inlineStr">
        <is>
          <t>AKV 01</t>
        </is>
      </c>
      <c r="B1149" s="2" t="inlineStr">
        <is>
          <t>Osvetlený kolískový vypínač, 12V, 1 el.obvod, červený</t>
        </is>
      </c>
      <c r="C1149" s="1" t="n">
        <v>1.25</v>
      </c>
      <c r="D1149" s="7" t="n">
        <f>HYPERLINK("https://www.somogyi.sk/product/osvetleny-koliskovy-vypinac-12v-1-el-obvod-cerveny-akv-01-4260","https://www.somogyi.sk/product/osvetleny-koliskovy-vypinac-12v-1-el-obvod-cerveny-akv-01-4260")</f>
        <v>0.0</v>
      </c>
      <c r="E1149" s="7" t="n">
        <f>HYPERLINK("https://www.somogyi.sk/productimages/product_main_images/small/04260.jpg","https://www.somogyi.sk/productimages/product_main_images/small/04260.jpg")</f>
        <v>0.0</v>
      </c>
      <c r="F1149" s="2" t="inlineStr">
        <is>
          <t>5998312708859</t>
        </is>
      </c>
      <c r="G1149" s="4" t="inlineStr">
        <is>
          <t xml:space="preserve"> • typ tlačidla: kolískový spínač 
 • počet spínaných elektrických obvodov: 1 
 • pozície spínača: 2 
 • max. napätie: 12 V 
 • max. prúd: 15 A 
 • rozmery: 21x 15 mm 
 • montážne rozmery: 19 x 13 mm 
 • montážna hĺbka: 22,8 mm 
 • počet svoriek: 3 
 • šírka svoriek: 4,8 mm 
 • podsvietenie spínača: žiarovka 
 • napájanie podsvietenia: 12 V 
 • farba spínača: červená</t>
        </is>
      </c>
    </row>
    <row r="1150">
      <c r="A1150" s="3" t="inlineStr">
        <is>
          <t>AK 61</t>
        </is>
      </c>
      <c r="B1150" s="2" t="inlineStr">
        <is>
          <t>Kolískový vypínač k el.sťahovaniu okien, 12V</t>
        </is>
      </c>
      <c r="C1150" s="1" t="n">
        <v>5.49</v>
      </c>
      <c r="D1150" s="7" t="n">
        <f>HYPERLINK("https://www.somogyi.sk/product/koliskovy-vypinac-k-el-stahovaniu-okien-12v-ak-61-2737","https://www.somogyi.sk/product/koliskovy-vypinac-k-el-stahovaniu-okien-12v-ak-61-2737")</f>
        <v>0.0</v>
      </c>
      <c r="E1150" s="7" t="n">
        <f>HYPERLINK("https://www.somogyi.sk/productimages/product_main_images/small/02737.jpg","https://www.somogyi.sk/productimages/product_main_images/small/02737.jpg")</f>
        <v>0.0</v>
      </c>
      <c r="F1150" s="2" t="inlineStr">
        <is>
          <t>5998312730614</t>
        </is>
      </c>
      <c r="G1150" s="4" t="inlineStr">
        <is>
          <t xml:space="preserve"> • typ tlačidla: kolískový spínač 
 • počet spínaných elektrických obvodov: 2 
 • pozície spínača: 3 
 • max. napätie: 12 V 
 • max. prúd: 15 A 
 • rozmery: 21 x 38 mm 
 • montážne rozmery: 37 x 18 mm 
 • montážna hĺbka: 24,5 mm 
 • počet svoriek: 5 
 • šírka svoriek: 4,8 mm 
 • farba spínača: -</t>
        </is>
      </c>
    </row>
    <row r="1151">
      <c r="A1151" s="3" t="inlineStr">
        <is>
          <t>ST 10/RD</t>
        </is>
      </c>
      <c r="B1151" s="2" t="inlineStr">
        <is>
          <t>Tlačidlo, 250V, 1 el.obvod, červené</t>
        </is>
      </c>
      <c r="C1151" s="1" t="n">
        <v>1.79</v>
      </c>
      <c r="D1151" s="7" t="n">
        <f>HYPERLINK("https://www.somogyi.sk/product/tlacidlo-250v-1-el-obvod-cervene-st-10-rd-2128","https://www.somogyi.sk/product/tlacidlo-250v-1-el-obvod-cervene-st-10-rd-2128")</f>
        <v>0.0</v>
      </c>
      <c r="E1151" s="7" t="n">
        <f>HYPERLINK("https://www.somogyi.sk/productimages/product_main_images/small/02128.jpg","https://www.somogyi.sk/productimages/product_main_images/small/02128.jpg")</f>
        <v>0.0</v>
      </c>
      <c r="F1151" s="2" t="inlineStr">
        <is>
          <t>5998312723739</t>
        </is>
      </c>
      <c r="G1151" s="4" t="inlineStr">
        <is>
          <t xml:space="preserve"> • typ tlačidla: tlačidlo spínacie 
 • počet spínaných elektrických obvodov: 1 
 • pozície spínača: 2 
 • max. napätie: 250 V~ 
 • max. prúd: 3 A 
 • rozmery: Ø 19 mm 
 • montážne rozmery: Ø 12 mm 
 • montážna hĺbka: 28,5 mm 
 • počet svoriek: 2 
 • šírka svoriek: 2,8 mm 
 • farba spínača: červená</t>
        </is>
      </c>
    </row>
    <row r="1152">
      <c r="A1152" s="3" t="inlineStr">
        <is>
          <t>STV 05</t>
        </is>
      </c>
      <c r="B1152" s="2" t="inlineStr">
        <is>
          <t>Osvetlený kolískový vypínač, 250V, 2 el.obvody, červený</t>
        </is>
      </c>
      <c r="C1152" s="1" t="n">
        <v>2.39</v>
      </c>
      <c r="D1152" s="7" t="n">
        <f>HYPERLINK("https://www.somogyi.sk/product/osvetleny-koliskovy-vypinac-250v-2-el-obvody-cerveny-stv-05-1899","https://www.somogyi.sk/product/osvetleny-koliskovy-vypinac-250v-2-el-obvody-cerveny-stv-05-1899")</f>
        <v>0.0</v>
      </c>
      <c r="E1152" s="7" t="n">
        <f>HYPERLINK("https://www.somogyi.sk/productimages/product_main_images/small/01899.jpg","https://www.somogyi.sk/productimages/product_main_images/small/01899.jpg")</f>
        <v>0.0</v>
      </c>
      <c r="F1152" s="2" t="inlineStr">
        <is>
          <t>5998312704547</t>
        </is>
      </c>
      <c r="G1152" s="4" t="inlineStr">
        <is>
          <t xml:space="preserve"> • typ tlačidla: kolískový spínač 
 • počet spínaných elektrických obvodov: 2 
 • pozície spínača: 2 
 • max. napätie: 250 V~ 
 • max. prúd: 6 A 
 • rozmery: 21 x 15 mm 
 • montážne rozmery: 20 x 13 mm 
 • montážna hĺbka: 22 mm 
 • počet svoriek: 4 
 • šírka svoriek: 4,8 mm 
 • podsvietenie spínača: glim 
 • napájanie podsvietenia: 230 V~ 
 • farba spínača: červená</t>
        </is>
      </c>
    </row>
    <row r="1153">
      <c r="A1153" s="3" t="inlineStr">
        <is>
          <t>ST 10/BK</t>
        </is>
      </c>
      <c r="B1153" s="2" t="inlineStr">
        <is>
          <t>Tlačidlo, 250V, 1 el.obvod, čierne</t>
        </is>
      </c>
      <c r="C1153" s="1" t="n">
        <v>1.79</v>
      </c>
      <c r="D1153" s="7" t="n">
        <f>HYPERLINK("https://www.somogyi.sk/product/tlacidlo-250v-1-el-obvod-cierne-st-10-bk-1888","https://www.somogyi.sk/product/tlacidlo-250v-1-el-obvod-cierne-st-10-bk-1888")</f>
        <v>0.0</v>
      </c>
      <c r="E1153" s="7" t="n">
        <f>HYPERLINK("https://www.somogyi.sk/productimages/product_main_images/small/01888.jpg","https://www.somogyi.sk/productimages/product_main_images/small/01888.jpg")</f>
        <v>0.0</v>
      </c>
      <c r="F1153" s="2" t="inlineStr">
        <is>
          <t>5998312704394</t>
        </is>
      </c>
      <c r="G1153" s="4" t="inlineStr">
        <is>
          <t xml:space="preserve"> • typ tlačidla: tlačidlo spínacie 
 • počet spínaných elektrických obvodov: 1 
 • pozície spínača: 2 
 • max. napätie: 250 V~ 
 • max. prúd: 3 A 
 • rozmery: Ø 19 mm 
 • montážne rozmery: Ø 12 mm 
 • montážna hĺbka: 28,5 mm 
 • počet svoriek: 2 
 • šírka svoriek: 2,8 mm 
 • farba spínača: -</t>
        </is>
      </c>
    </row>
    <row r="1154">
      <c r="A1154" s="3" t="inlineStr">
        <is>
          <t>ST 302</t>
        </is>
      </c>
      <c r="B1154" s="2" t="inlineStr">
        <is>
          <t>Páčkový spínač, 250V, 1 el.obvod, páčkový, prepínací</t>
        </is>
      </c>
      <c r="C1154" s="1" t="n">
        <v>1.39</v>
      </c>
      <c r="D1154" s="7" t="n">
        <f>HYPERLINK("https://www.somogyi.sk/product/packovy-spinac-250v-1-el-obvod-packovy-prepinaci-st-302-1890","https://www.somogyi.sk/product/packovy-spinac-250v-1-el-obvod-packovy-prepinaci-st-302-1890")</f>
        <v>0.0</v>
      </c>
      <c r="E1154" s="7" t="n">
        <f>HYPERLINK("https://www.somogyi.sk/productimages/product_main_images/small/01890.jpg","https://www.somogyi.sk/productimages/product_main_images/small/01890.jpg")</f>
        <v>0.0</v>
      </c>
      <c r="F1154" s="2" t="inlineStr">
        <is>
          <t>5998312704417</t>
        </is>
      </c>
      <c r="G1154" s="4" t="inlineStr">
        <is>
          <t xml:space="preserve"> • typ tlačidla: kolískový spínač 
 • počet spínaných elektrických obvodov: 1 (prepínač) 
 • pozície spínača: 2 
 • max. napätie: 250 V~ 
 • max. prúd: 3 A 
 • rozmery: 13 x 8 mm 
 • montážne rozmery: Ø 6 mm 
 • montážna hĺbka: 15 mm 
 • počet svoriek: 3 
 • šírka svoriek: 2 mm 
 • farba spínača: -</t>
        </is>
      </c>
    </row>
    <row r="1155">
      <c r="A1155" s="3" t="inlineStr">
        <is>
          <t>ST 303</t>
        </is>
      </c>
      <c r="B1155" s="2" t="inlineStr">
        <is>
          <t>Páčkový spínač, 250V, 1 el.obvod, 3 polohový, páčkový, prepínací</t>
        </is>
      </c>
      <c r="C1155" s="1" t="n">
        <v>1.39</v>
      </c>
      <c r="D1155" s="7" t="n">
        <f>HYPERLINK("https://www.somogyi.sk/product/packovy-spinac-250v-1-el-obvod-3-polohovy-packovy-prepinaci-st-303-1891","https://www.somogyi.sk/product/packovy-spinac-250v-1-el-obvod-3-polohovy-packovy-prepinaci-st-303-1891")</f>
        <v>0.0</v>
      </c>
      <c r="E1155" s="7" t="n">
        <f>HYPERLINK("https://www.somogyi.sk/productimages/product_main_images/small/01891.jpg","https://www.somogyi.sk/productimages/product_main_images/small/01891.jpg")</f>
        <v>0.0</v>
      </c>
      <c r="F1155" s="2" t="inlineStr">
        <is>
          <t>5998312704424</t>
        </is>
      </c>
      <c r="G1155" s="4" t="inlineStr">
        <is>
          <t xml:space="preserve"> • typ tlačidla: kolískový spínač 
 • počet spínaných elektrických obvodov: 1 (prepínač) 
 • pozície spínača: 3 
 • max. napätie: 250 V~ 
 • max. prúd: 3 A 
 • rozmery: 13 x 8 mm 
 • montážne rozmery: Ø 6 mm 
 • montážna hĺbka: 15 mm 
 • počet svoriek: 3 
 • šírka svoriek: 2 mm 
 • farba spínača: -</t>
        </is>
      </c>
    </row>
    <row r="1156">
      <c r="A1156" s="3" t="inlineStr">
        <is>
          <t>ST 304</t>
        </is>
      </c>
      <c r="B1156" s="2" t="inlineStr">
        <is>
          <t>Páčkový spínač, 250V, 2 el.obvody, páčkový, prepínací</t>
        </is>
      </c>
      <c r="C1156" s="1" t="n">
        <v>1.39</v>
      </c>
      <c r="D1156" s="7" t="n">
        <f>HYPERLINK("https://www.somogyi.sk/product/packovy-spinac-250v-2-el-obvody-packovy-prepinaci-st-304-1892","https://www.somogyi.sk/product/packovy-spinac-250v-2-el-obvody-packovy-prepinaci-st-304-1892")</f>
        <v>0.0</v>
      </c>
      <c r="E1156" s="7" t="n">
        <f>HYPERLINK("https://www.somogyi.sk/productimages/product_main_images/small/01892.jpg","https://www.somogyi.sk/productimages/product_main_images/small/01892.jpg")</f>
        <v>0.0</v>
      </c>
      <c r="F1156" s="2" t="inlineStr">
        <is>
          <t>5998312704431</t>
        </is>
      </c>
      <c r="G1156" s="4" t="inlineStr">
        <is>
          <t xml:space="preserve"> • typ tlačidla: kolískový spínač 
 • počet spínaných elektrických obvodov: 2 (prepínač) 
 • pozície spínača: 2 
 • max. napätie: 250 V~ 
 • max. prúd: 3 A 
 • rozmery: 13 x 13 mm 
 • montážne rozmery: Ø 6 mm 
 • montážna hĺbka: 15 mm 
 • počet svoriek: 6 
 • šírka svoriek: 2 mm 
 • farba spínača: -</t>
        </is>
      </c>
    </row>
    <row r="1157">
      <c r="A1157" s="3" t="inlineStr">
        <is>
          <t>STV 02</t>
        </is>
      </c>
      <c r="B1157" s="2" t="inlineStr">
        <is>
          <t>Osvetlený kolískový vypínač, 250V, 2 el.obvody, zelený</t>
        </is>
      </c>
      <c r="C1157" s="1" t="n">
        <v>3.29</v>
      </c>
      <c r="D1157" s="7" t="n">
        <f>HYPERLINK("https://www.somogyi.sk/product/osvetleny-koliskovy-vypinac-250v-2-el-obvody-zeleny-stv-02-1897","https://www.somogyi.sk/product/osvetleny-koliskovy-vypinac-250v-2-el-obvody-zeleny-stv-02-1897")</f>
        <v>0.0</v>
      </c>
      <c r="E1157" s="7" t="n">
        <f>HYPERLINK("https://www.somogyi.sk/productimages/product_main_images/small/01897.jpg","https://www.somogyi.sk/productimages/product_main_images/small/01897.jpg")</f>
        <v>0.0</v>
      </c>
      <c r="F1157" s="2" t="inlineStr">
        <is>
          <t>5998312704516</t>
        </is>
      </c>
      <c r="G1157" s="4" t="inlineStr">
        <is>
          <t xml:space="preserve"> • typ tlačidla: kolískový spínač 
 • počet spínaných elektrických obvodov: 2 
 • pozície spínača: 2 
 • max. napätie: 250 V~ 
 • max. prúd: 10 A 
 • rozmery: 32 x 26 mm 
 • montážne rozmery: 31 x 22 mm 
 • montážna hĺbka: 27 mm 
 • počet svoriek: 4 
 • šírka svoriek: 6,3 mm 
 • podsvietenie spínača: glim 
 • napájanie podsvietenia: 230 V~ 
 • farba spínača: zelená</t>
        </is>
      </c>
    </row>
    <row r="1158">
      <c r="A1158" s="3" t="inlineStr">
        <is>
          <t>STV 01</t>
        </is>
      </c>
      <c r="B1158" s="2" t="inlineStr">
        <is>
          <t>Osvetlený kolískový vypínač, 250V, 2 el.obvody, červený</t>
        </is>
      </c>
      <c r="C1158" s="1" t="n">
        <v>3.19</v>
      </c>
      <c r="D1158" s="7" t="n">
        <f>HYPERLINK("https://www.somogyi.sk/product/osvetleny-koliskovy-vypinac-250v-2-el-obvody-cerveny-stv-01-1896","https://www.somogyi.sk/product/osvetleny-koliskovy-vypinac-250v-2-el-obvody-cerveny-stv-01-1896")</f>
        <v>0.0</v>
      </c>
      <c r="E1158" s="7" t="n">
        <f>HYPERLINK("https://www.somogyi.sk/productimages/product_main_images/small/01896.jpg","https://www.somogyi.sk/productimages/product_main_images/small/01896.jpg")</f>
        <v>0.0</v>
      </c>
      <c r="F1158" s="2" t="inlineStr">
        <is>
          <t>5998312704509</t>
        </is>
      </c>
      <c r="G1158" s="4" t="inlineStr">
        <is>
          <t xml:space="preserve"> • typ tlačidla: kolískový spínač 
 • počet spínaných elektrických obvodov: 2 
 • pozície spínača: 2 
 • max. napätie: 250 V~ 
 • max. prúd: 10 A 
 • rozmery: 32 x 26 mm 
 • montážne rozmery: 31 x 22 mm 
 • montážna hĺbka: 27 mm 
 • počet svoriek: 4 
 • šírka svoriek: 6,3 mm 
 • podsvietenie spínača: glim 
 • napájanie podsvietenia: 230 V~ 
 • farba spínača: červená</t>
        </is>
      </c>
    </row>
    <row r="1159">
      <c r="A1159" s="3" t="inlineStr">
        <is>
          <t>STV 03</t>
        </is>
      </c>
      <c r="B1159" s="2" t="inlineStr">
        <is>
          <t>Osvetlený kolískový vypínač, 250V, 1 el.obvod, červený</t>
        </is>
      </c>
      <c r="C1159" s="1" t="n">
        <v>2.59</v>
      </c>
      <c r="D1159" s="7" t="n">
        <f>HYPERLINK("https://www.somogyi.sk/product/osvetleny-koliskovy-vypinac-250v-1-el-obvod-cerveny-stv-03-1898","https://www.somogyi.sk/product/osvetleny-koliskovy-vypinac-250v-1-el-obvod-cerveny-stv-03-1898")</f>
        <v>0.0</v>
      </c>
      <c r="E1159" s="7" t="n">
        <f>HYPERLINK("https://www.somogyi.sk/productimages/product_main_images/small/01898.jpg","https://www.somogyi.sk/productimages/product_main_images/small/01898.jpg")</f>
        <v>0.0</v>
      </c>
      <c r="F1159" s="2" t="inlineStr">
        <is>
          <t>5998312704523</t>
        </is>
      </c>
      <c r="G1159" s="4" t="inlineStr">
        <is>
          <t xml:space="preserve"> • typ tlačidla: kolískový spínač 
 • počet spínaných elektrických obvodov: 1 
 • pozície spínača: 2 
 • max. napätie: 250 V~ 
 • max. prúd: 10 A 
 • rozmery: 34 x 14 mm 
 • montážne rozmery: 31 x 11 mm 
 • montážna hĺbka: 26,6 mm 
 • počet svoriek: 3 
 • šírka svoriek: 6,3 mm 
 • podsvietenie spínača: glim 
 • napájanie podsvietenia: 230 V~ 
 • farba spínača: červená</t>
        </is>
      </c>
    </row>
    <row r="1160">
      <c r="A1160" s="3" t="inlineStr">
        <is>
          <t>ST 305</t>
        </is>
      </c>
      <c r="B1160" s="2" t="inlineStr">
        <is>
          <t>Páčkový spínač, 250V, 1 el.obvod, 3 polohový, páčkový, prepínací</t>
        </is>
      </c>
      <c r="C1160" s="1" t="n">
        <v>1.39</v>
      </c>
      <c r="D1160" s="7" t="n">
        <f>HYPERLINK("https://www.somogyi.sk/product/packovy-spinac-250v-1-el-obvod-3-polohovy-packovy-prepinaci-st-305-1893","https://www.somogyi.sk/product/packovy-spinac-250v-1-el-obvod-3-polohovy-packovy-prepinaci-st-305-1893")</f>
        <v>0.0</v>
      </c>
      <c r="E1160" s="7" t="n">
        <f>HYPERLINK("https://www.somogyi.sk/productimages/product_main_images/small/01893.jpg","https://www.somogyi.sk/productimages/product_main_images/small/01893.jpg")</f>
        <v>0.0</v>
      </c>
      <c r="F1160" s="2" t="inlineStr">
        <is>
          <t>5998312704448</t>
        </is>
      </c>
      <c r="G1160" s="4" t="inlineStr">
        <is>
          <t xml:space="preserve"> • typ tlačidla: kolískový spínač 
 • počet spínaných elektrických obvodov: 2 (prepínač) 
 • pozície spínača: 3 
 • max. napätie: 250 V~ 
 • max. prúd: 3 A 
 • rozmery: 13 x 13 mm 
 • montážne rozmery: Ø 6 mm 
 • montážna hĺbka: 15 mm 
 • počet svoriek: 6 
 • šírka svoriek: 2 mm 
 • farba spínača: -</t>
        </is>
      </c>
    </row>
    <row r="1161">
      <c r="A1161" s="3" t="inlineStr">
        <is>
          <t>AKV 12</t>
        </is>
      </c>
      <c r="B1161" s="2" t="inlineStr">
        <is>
          <t>Osvetlený kolískový vypínač, 12V, 1 el.obvod, zelený</t>
        </is>
      </c>
      <c r="C1161" s="1" t="n">
        <v>1.49</v>
      </c>
      <c r="D1161" s="7" t="n">
        <f>HYPERLINK("https://www.somogyi.sk/product/osvetleny-koliskovy-vypinac-12v-1-el-obvod-zeleny-akv-12-4254","https://www.somogyi.sk/product/osvetleny-koliskovy-vypinac-12v-1-el-obvod-zeleny-akv-12-4254")</f>
        <v>0.0</v>
      </c>
      <c r="E1161" s="7" t="n">
        <f>HYPERLINK("https://www.somogyi.sk/productimages/product_main_images/small/04254.jpg","https://www.somogyi.sk/productimages/product_main_images/small/04254.jpg")</f>
        <v>0.0</v>
      </c>
      <c r="F1161" s="2" t="inlineStr">
        <is>
          <t>5998312708798</t>
        </is>
      </c>
      <c r="G1161" s="4" t="inlineStr">
        <is>
          <t xml:space="preserve"> • typ tlačidla: kolískový spínač 
 • počet spínaných elektrických obvodov: 1 
 • pozície spínača: 2 
 • max. napätie: 12 V 
 • max. prúd: 16 A 
 • rozmery: Ø 23 mm 
 • montážne rozmery: Ø 20 mm 
 • montážna hĺbka: 22,8 mm 
 • počet svoriek: 3 
 • šírka svoriek: 4,8 mm 
 • podsvietenie spínača: žiarovka 
 • napájanie podsvietenia: 12 V 
 • farba spínača: zelená</t>
        </is>
      </c>
    </row>
    <row r="1162">
      <c r="A1162" s="3" t="inlineStr">
        <is>
          <t>AKV 02</t>
        </is>
      </c>
      <c r="B1162" s="2" t="inlineStr">
        <is>
          <t>Osvetlený kolískový vypínač, 12V, 1 el.obvod, zelený</t>
        </is>
      </c>
      <c r="C1162" s="1" t="n">
        <v>1.25</v>
      </c>
      <c r="D1162" s="7" t="n">
        <f>HYPERLINK("https://www.somogyi.sk/product/osvetleny-koliskovy-vypinac-12v-1-el-obvod-zeleny-akv-02-4261","https://www.somogyi.sk/product/osvetleny-koliskovy-vypinac-12v-1-el-obvod-zeleny-akv-02-4261")</f>
        <v>0.0</v>
      </c>
      <c r="E1162" s="7" t="n">
        <f>HYPERLINK("https://www.somogyi.sk/productimages/product_main_images/small/04261.jpg","https://www.somogyi.sk/productimages/product_main_images/small/04261.jpg")</f>
        <v>0.0</v>
      </c>
      <c r="F1162" s="2" t="inlineStr">
        <is>
          <t>5998312708866</t>
        </is>
      </c>
      <c r="G1162" s="4" t="inlineStr">
        <is>
          <t xml:space="preserve"> • typ tlačidla: kolískový spínač 
 • počet spínaných elektrických obvodov: 1 
 • pozície spínača: 2 
 • max. napätie: 12 V 
 • max. prúd: 15 A 
 • rozmery: 21x 15 mm 
 • montážne rozmery: 19 x 13 mm 
 • montážna hĺbka: 22,8 mm 
 • počet svoriek: 3 
 • šírka svoriek: 4,8 mm 
 • podsvietenie spínača: žiarovka 
 • napájanie podsvietenia: 12 V 
 • farba spínača: zelená</t>
        </is>
      </c>
    </row>
    <row r="1163">
      <c r="A1163" s="3" t="inlineStr">
        <is>
          <t>SP 02/BK</t>
        </is>
      </c>
      <c r="B1163" s="2" t="inlineStr">
        <is>
          <t>Tlačidlo, 12V, 1 el.obvod, mini, čierne, uzatváracie</t>
        </is>
      </c>
      <c r="C1163" s="1" t="n">
        <v>1.09</v>
      </c>
      <c r="D1163" s="7" t="n">
        <f>HYPERLINK("https://www.somogyi.sk/product/tlacidlo-12v-1-el-obvod-mini-cierne-uzatvaracie-sp-02-bk-4309","https://www.somogyi.sk/product/tlacidlo-12v-1-el-obvod-mini-cierne-uzatvaracie-sp-02-bk-4309")</f>
        <v>0.0</v>
      </c>
      <c r="E1163" s="7" t="n">
        <f>HYPERLINK("https://www.somogyi.sk/productimages/product_main_images/small/04309.jpg","https://www.somogyi.sk/productimages/product_main_images/small/04309.jpg")</f>
        <v>0.0</v>
      </c>
      <c r="F1163" s="2" t="inlineStr">
        <is>
          <t>5998312737729</t>
        </is>
      </c>
      <c r="G1163" s="4" t="inlineStr">
        <is>
          <t xml:space="preserve"> • typ tlačidla: tlačidlo ON / OFF 
 • počet spínaných elektrických obvodov: 1 
 • pozície spínača: 2 
 • max. napätie: 250 V~ 
 • max. prúd: 1,5 A 
 • rozmery: Ø 7 mm 
 • montážne rozmery: Ø 7 mm 
 • montážna hĺbka: 15 mm 
 • počet svoriek: 2 
 • šírka svoriek: 2 mm 
 • farba spínača: čierna</t>
        </is>
      </c>
    </row>
    <row r="1164">
      <c r="A1164" s="3" t="inlineStr">
        <is>
          <t>SP 02/RD</t>
        </is>
      </c>
      <c r="B1164" s="2" t="inlineStr">
        <is>
          <t>Tlačidlo, 12V, 1 el.obvod, mini, červené, uzatváracie</t>
        </is>
      </c>
      <c r="C1164" s="1" t="n">
        <v>1.09</v>
      </c>
      <c r="D1164" s="7" t="n">
        <f>HYPERLINK("https://www.somogyi.sk/product/tlacidlo-12v-1-el-obvod-mini-cervene-uzatvaracie-sp-02-rd-4310","https://www.somogyi.sk/product/tlacidlo-12v-1-el-obvod-mini-cervene-uzatvaracie-sp-02-rd-4310")</f>
        <v>0.0</v>
      </c>
      <c r="E1164" s="7" t="n">
        <f>HYPERLINK("https://www.somogyi.sk/productimages/product_main_images/small/04310.jpg","https://www.somogyi.sk/productimages/product_main_images/small/04310.jpg")</f>
        <v>0.0</v>
      </c>
      <c r="F1164" s="2" t="inlineStr">
        <is>
          <t>5998312737736</t>
        </is>
      </c>
      <c r="G1164" s="4" t="inlineStr">
        <is>
          <t xml:space="preserve"> • typ tlačidla: tlačidlo ON / OFF 
 • počet spínaných elektrických obvodov: 1 
 • pozície spínača: 2 
 • max. napätie: 250 V~ 
 • max. prúd: 1,5 A 
 • rozmery: Ø 7 mm 
 • montážne rozmery: Ø 7 mm 
 • montážna hĺbka: 15 mm 
 • počet svoriek: 2 
 • šírka svoriek: 2 mm 
 • farba spínača: červená</t>
        </is>
      </c>
    </row>
    <row r="1165">
      <c r="A1165" s="3" t="inlineStr">
        <is>
          <t>SP 10/BK</t>
        </is>
      </c>
      <c r="B1165" s="2" t="inlineStr">
        <is>
          <t>Tlačidlo, 125V/3A - 250V/1A, čierne, uzatváracie</t>
        </is>
      </c>
      <c r="C1165" s="1" t="n">
        <v>1.69</v>
      </c>
      <c r="D1165" s="7" t="n">
        <f>HYPERLINK("https://www.somogyi.sk/product/tlacidlo-125v-3a-250v-1a-cierne-uzatvaracie-sp-10-bk-2012","https://www.somogyi.sk/product/tlacidlo-125v-3a-250v-1a-cierne-uzatvaracie-sp-10-bk-2012")</f>
        <v>0.0</v>
      </c>
      <c r="E1165" s="7" t="n">
        <f>HYPERLINK("https://www.somogyi.sk/productimages/product_main_images/small/02012.jpg","https://www.somogyi.sk/productimages/product_main_images/small/02012.jpg")</f>
        <v>0.0</v>
      </c>
      <c r="F1165" s="2" t="inlineStr">
        <is>
          <t>5998312717967</t>
        </is>
      </c>
      <c r="G1165" s="4" t="inlineStr">
        <is>
          <t xml:space="preserve"> • typ tlačidla: tlačidlo ON / OFF 
 • počet spínaných elektrických obvodov: 1 
 • pozície spínača: 2 
 • max. napätie: 125 V~ 
 • max. prúd: 3 A 
 • rozmery: Ø 19 mm 
 • montážne rozmery: Ø 12 mm 
 • montážna hĺbka: 28,5 mm 
 • počet svoriek: 2 
 • šírka svoriek: 2,8 mm 
 • farba spínača: -</t>
        </is>
      </c>
    </row>
    <row r="1166">
      <c r="A1166" s="3" t="inlineStr">
        <is>
          <t>ST 1/BK</t>
        </is>
      </c>
      <c r="B1166" s="2" t="inlineStr">
        <is>
          <t>Osvetlený kolískový vypínač mini, 250V, 1 el.obvod, čierny</t>
        </is>
      </c>
      <c r="C1166" s="1" t="n">
        <v>0.69</v>
      </c>
      <c r="D1166" s="7" t="n">
        <f>HYPERLINK("https://www.somogyi.sk/product/osvetleny-koliskovy-vypinac-mini-250v-1-el-obvod-cierny-st-1-bk-2014","https://www.somogyi.sk/product/osvetleny-koliskovy-vypinac-mini-250v-1-el-obvod-cierny-st-1-bk-2014")</f>
        <v>0.0</v>
      </c>
      <c r="E1166" s="7" t="n">
        <f>HYPERLINK("https://www.somogyi.sk/productimages/product_main_images/small/02014.jpg","https://www.somogyi.sk/productimages/product_main_images/small/02014.jpg")</f>
        <v>0.0</v>
      </c>
      <c r="F1166" s="2" t="inlineStr">
        <is>
          <t>5998312718049</t>
        </is>
      </c>
      <c r="G1166" s="4" t="inlineStr">
        <is>
          <t xml:space="preserve"> • typ tlačidla: kolískový spínač 
 • počet spínaných elektrických obvodov: 1 
 • pozície spínača: 2 
 • max. napätie: 250 V~ 
 • max. prúd: 3 A 
 • rozmery: 21 x 15 mm 
 • montážne rozmery: 20 x 13 mm 
 • montážna hĺbka: 18,5 mm 
 • počet svoriek: 2 
 • šírka svoriek: 4,8 mm 
 • farba spínača: -</t>
        </is>
      </c>
    </row>
    <row r="1167">
      <c r="A1167" s="3" t="inlineStr">
        <is>
          <t>AKV 11</t>
        </is>
      </c>
      <c r="B1167" s="2" t="inlineStr">
        <is>
          <t>Osvetlený kolískový vypínač, 12V, 1 el.obvod, červený</t>
        </is>
      </c>
      <c r="C1167" s="1" t="n">
        <v>1.49</v>
      </c>
      <c r="D1167" s="7" t="n">
        <f>HYPERLINK("https://www.somogyi.sk/product/osvetleny-koliskovy-vypinac-12v-1-el-obvod-cerveny-akv-11-4255","https://www.somogyi.sk/product/osvetleny-koliskovy-vypinac-12v-1-el-obvod-cerveny-akv-11-4255")</f>
        <v>0.0</v>
      </c>
      <c r="E1167" s="7" t="n">
        <f>HYPERLINK("https://www.somogyi.sk/productimages/product_main_images/small/04255.jpg","https://www.somogyi.sk/productimages/product_main_images/small/04255.jpg")</f>
        <v>0.0</v>
      </c>
      <c r="F1167" s="2" t="inlineStr">
        <is>
          <t>5998312708804</t>
        </is>
      </c>
      <c r="G1167" s="4" t="inlineStr">
        <is>
          <t xml:space="preserve"> • typ tlačidla: kolískový spínač 
 • počet spínaných elektrických obvodov: 1 
 • pozície spínača: 2 
 • max. napätie: 12 V 
 • max. prúd: 16 A 
 • rozmery: Ø 23 mm 
 • montážne rozmery: Ø 20 mm 
 • montážna hĺbka: 22,8 mm 
 • počet svoriek: 3 
 • šírka svoriek: 4,8 mm 
 • podsvietenie spínača: žiarovka 
 • napájanie podsvietenia: 12 V 
 • farba spínača: červená</t>
        </is>
      </c>
    </row>
    <row r="1168">
      <c r="A1168" s="3" t="inlineStr">
        <is>
          <t>MSW 03</t>
        </is>
      </c>
      <c r="B1168" s="2" t="inlineStr">
        <is>
          <t>Mikrospínač, 10A, mini, kolieskové</t>
        </is>
      </c>
      <c r="C1168" s="1" t="n">
        <v>1.89</v>
      </c>
      <c r="D1168" s="7" t="n">
        <f>HYPERLINK("https://www.somogyi.sk/product/mikrospinac-10a-mini-kolieskove-msw-03-4778","https://www.somogyi.sk/product/mikrospinac-10a-mini-kolieskove-msw-03-4778")</f>
        <v>0.0</v>
      </c>
      <c r="E1168" s="7" t="n">
        <f>HYPERLINK("https://www.somogyi.sk/productimages/product_main_images/small/04778.jpg","https://www.somogyi.sk/productimages/product_main_images/small/04778.jpg")</f>
        <v>0.0</v>
      </c>
      <c r="F1168" s="2" t="inlineStr">
        <is>
          <t>5998312742211</t>
        </is>
      </c>
      <c r="G1168" s="4" t="inlineStr">
        <is>
          <t xml:space="preserve"> • typ tlačidla: mikrospínač (páčkový s kolieskom) 
 • počet spínaných elektrických obvodov: 1 
 • pozície spínača: 2 
 • max. napätie: 250 V~ 
 • max. prúd: 10 A 
 • rozmery: 29 x 16 x 10 mm 
 • montážne rozmery: - 
 • montážna hĺbka: - 
 • počet svoriek: 3 
 • šírka svoriek: 6,3 mm 
 • farba spínača: -</t>
        </is>
      </c>
    </row>
    <row r="1169">
      <c r="A1169" s="3" t="inlineStr">
        <is>
          <t>MSW 13</t>
        </is>
      </c>
      <c r="B1169" s="2" t="inlineStr">
        <is>
          <t>Mikrospínač, 5A, mini, kolieskové</t>
        </is>
      </c>
      <c r="C1169" s="1" t="n">
        <v>1.25</v>
      </c>
      <c r="D1169" s="7" t="n">
        <f>HYPERLINK("https://www.somogyi.sk/product/mikrospinac-5a-mini-kolieskove-msw-13-4780","https://www.somogyi.sk/product/mikrospinac-5a-mini-kolieskove-msw-13-4780")</f>
        <v>0.0</v>
      </c>
      <c r="E1169" s="7" t="n">
        <f>HYPERLINK("https://www.somogyi.sk/productimages/product_main_images/small/04780.jpg","https://www.somogyi.sk/productimages/product_main_images/small/04780.jpg")</f>
        <v>0.0</v>
      </c>
      <c r="F1169" s="2" t="inlineStr">
        <is>
          <t>5998312742235</t>
        </is>
      </c>
      <c r="G1169" s="4" t="inlineStr">
        <is>
          <t xml:space="preserve"> • typ tlačidla: mikrospínač (páčkový s kolieskom) 
 • počet spínaných elektrických obvodov: 1 
 • pozície spínača: 2 
 • max. napätie: 250 V~ 
 • max. prúd: 5 A 
 • rozmery: 20 x 11 x 7 mm 
 • montážne rozmery: - 
 • montážna hĺbka: - 
 • počet svoriek: 3 
 • šírka svoriek: 2,8 mm 
 • farba spínača: -</t>
        </is>
      </c>
    </row>
    <row r="1170">
      <c r="A1170" s="3" t="inlineStr">
        <is>
          <t>SP 10/RD</t>
        </is>
      </c>
      <c r="B1170" s="2" t="inlineStr">
        <is>
          <t>Tlačidlo, 125V/3A - 250V/1A, červené, uzatváracie</t>
        </is>
      </c>
      <c r="C1170" s="1" t="n">
        <v>1.69</v>
      </c>
      <c r="D1170" s="7" t="n">
        <f>HYPERLINK("https://www.somogyi.sk/product/tlacidlo-125v-3a-250v-1a-cervene-uzatvaracie-sp-10-rd-2126","https://www.somogyi.sk/product/tlacidlo-125v-3a-250v-1a-cervene-uzatvaracie-sp-10-rd-2126")</f>
        <v>0.0</v>
      </c>
      <c r="E1170" s="7" t="n">
        <f>HYPERLINK("https://www.somogyi.sk/productimages/product_main_images/small/02126.jpg","https://www.somogyi.sk/productimages/product_main_images/small/02126.jpg")</f>
        <v>0.0</v>
      </c>
      <c r="F1170" s="2" t="inlineStr">
        <is>
          <t>5998312723715</t>
        </is>
      </c>
      <c r="G1170" s="4" t="inlineStr">
        <is>
          <t xml:space="preserve"> • typ tlačidla: tlačidlo ON / OFF 
 • počet spínaných elektrických obvodov: 1 
 • pozície spínača: 2 
 • max. napätie: 125 V~ 
 • max. prúd: 3 A 
 • rozmery: Ø 19 mm 
 • montážne rozmery: Ø 12 mm 
 • montážna hĺbka: 28,5 mm 
 • počet svoriek: 2 
 • šírka svoriek: 2,8 mm 
 • farba spínača: červená</t>
        </is>
      </c>
    </row>
    <row r="1171">
      <c r="A1171" s="3" t="inlineStr">
        <is>
          <t>SP 12/RD</t>
        </is>
      </c>
      <c r="B1171" s="2" t="inlineStr">
        <is>
          <t>Tlačidlo, 250V, 1 el.obvod, červené, uzatváracie</t>
        </is>
      </c>
      <c r="C1171" s="1" t="n">
        <v>1.69</v>
      </c>
      <c r="D1171" s="7" t="n">
        <f>HYPERLINK("https://www.somogyi.sk/product/tlacidlo-250v-1-el-obvod-cervene-uzatvaracie-sp-12-rd-2794","https://www.somogyi.sk/product/tlacidlo-250v-1-el-obvod-cervene-uzatvaracie-sp-12-rd-2794")</f>
        <v>0.0</v>
      </c>
      <c r="E1171" s="7" t="n">
        <f>HYPERLINK("https://www.somogyi.sk/productimages/product_main_images/small/02794.jpg","https://www.somogyi.sk/productimages/product_main_images/small/02794.jpg")</f>
        <v>0.0</v>
      </c>
      <c r="F1171" s="2" t="inlineStr">
        <is>
          <t>5998312731185</t>
        </is>
      </c>
      <c r="G1171" s="4" t="inlineStr">
        <is>
          <t xml:space="preserve"> • typ tlačidla: tlačidlo ON / OFF 
 • počet spínaných elektrických obvodov: 1 
 • pozície spínača: 2 
 • max. napätie: 250 V~ 
 • max. prúd: 1,5 A 
 • rozmery: Ø 14 mm 
 • montážne rozmery: Ø 13 mm 
 • montážna hĺbka: 21 mm 
 • počet svoriek: 2 
 • šírka svoriek: 2 mm 
 • farba spínača: červená</t>
        </is>
      </c>
    </row>
    <row r="1172">
      <c r="A1172" s="3" t="inlineStr">
        <is>
          <t>MSW 01</t>
        </is>
      </c>
      <c r="B1172" s="2" t="inlineStr">
        <is>
          <t>Mikrospínač, 10A</t>
        </is>
      </c>
      <c r="C1172" s="1" t="n">
        <v>1.69</v>
      </c>
      <c r="D1172" s="7" t="n">
        <f>HYPERLINK("https://www.somogyi.sk/product/mikrospinac-10a-msw-01-4777","https://www.somogyi.sk/product/mikrospinac-10a-msw-01-4777")</f>
        <v>0.0</v>
      </c>
      <c r="E1172" s="7" t="n">
        <f>HYPERLINK("https://www.somogyi.sk/productimages/product_main_images/small/04777.jpg","https://www.somogyi.sk/productimages/product_main_images/small/04777.jpg")</f>
        <v>0.0</v>
      </c>
      <c r="F1172" s="2" t="inlineStr">
        <is>
          <t>5998312742204</t>
        </is>
      </c>
      <c r="G1172" s="4" t="inlineStr">
        <is>
          <t xml:space="preserve"> • typ tlačidla: mikrospínač 
 • počet spínaných elektrických obvodov: 1 
 • pozície spínača: 2 
 • max. napätie: 250 V~ 
 • max. prúd: 10 A 
 • rozmery: 29 x 16 x 10 mm 
 • montážne rozmery: - 
 • montážna hĺbka: - 
 • počet svoriek: 3 
 • šírka svoriek: 6,3 mm 
 • farba spínača: -</t>
        </is>
      </c>
    </row>
    <row r="1173">
      <c r="A1173" s="3" t="inlineStr">
        <is>
          <t>STV 15</t>
        </is>
      </c>
      <c r="B1173" s="2" t="inlineStr">
        <is>
          <t>Osvetlený kolískový vypínač, 250V, 1 el.obvod, červený</t>
        </is>
      </c>
      <c r="C1173" s="1" t="n">
        <v>1.79</v>
      </c>
      <c r="D1173" s="7" t="n">
        <f>HYPERLINK("https://www.somogyi.sk/product/osvetleny-koliskovy-vypinac-250v-1-el-obvod-cerveny-stv-15-2720","https://www.somogyi.sk/product/osvetleny-koliskovy-vypinac-250v-1-el-obvod-cerveny-stv-15-2720")</f>
        <v>0.0</v>
      </c>
      <c r="E1173" s="7" t="n">
        <f>HYPERLINK("https://www.somogyi.sk/productimages/product_main_images/small/02720.jpg","https://www.somogyi.sk/productimages/product_main_images/small/02720.jpg")</f>
        <v>0.0</v>
      </c>
      <c r="F1173" s="2" t="inlineStr">
        <is>
          <t>5998312730447</t>
        </is>
      </c>
      <c r="G1173" s="4" t="inlineStr">
        <is>
          <t xml:space="preserve"> • typ tlačidla: kolískový spínač 
 • počet spínaných elektrických obvodov: 1 
 • pozície spínača: 2 
 • max. napätie: 250 V~ 
 • max. prúd: 6 A 
 • rozmery: 21 x 15 mm 
 • montážne rozmery: 20 x 13 mm 
 • montážna hĺbka: 22 mm 
 • počet svoriek: 3 
 • šírka svoriek: 4,8 mm 
 • podsvietenie spínača: glim 
 • napájanie podsvietenia: 230 V~ 
 • farba spínača: červená</t>
        </is>
      </c>
    </row>
    <row r="1174">
      <c r="A1174" s="6" t="inlineStr">
        <is>
          <t xml:space="preserve">   Audio-video doplnky / Telefónny kábel</t>
        </is>
      </c>
      <c r="B1174" s="6" t="inlineStr">
        <is>
          <t/>
        </is>
      </c>
      <c r="C1174" s="6" t="inlineStr">
        <is>
          <t/>
        </is>
      </c>
      <c r="D1174" s="6" t="inlineStr">
        <is>
          <t/>
        </is>
      </c>
      <c r="E1174" s="6" t="inlineStr">
        <is>
          <t/>
        </is>
      </c>
      <c r="F1174" s="6" t="inlineStr">
        <is>
          <t/>
        </is>
      </c>
      <c r="G1174" s="6" t="inlineStr">
        <is>
          <t/>
        </is>
      </c>
    </row>
    <row r="1175">
      <c r="A1175" s="3" t="inlineStr">
        <is>
          <t>TK 1/WH</t>
        </is>
      </c>
      <c r="B1175" s="2" t="inlineStr">
        <is>
          <t>Telefónny kábel, 4 žilový, plochý, 100m/kotúč</t>
        </is>
      </c>
      <c r="C1175" s="1" t="n">
        <v>0.18</v>
      </c>
      <c r="D1175" s="7" t="n">
        <f>HYPERLINK("https://www.somogyi.sk/product/telefonny-kabel-4-zilovy-plochy-100m-kotuc-tk-1-wh-2885","https://www.somogyi.sk/product/telefonny-kabel-4-zilovy-plochy-100m-kotuc-tk-1-wh-2885")</f>
        <v>0.0</v>
      </c>
      <c r="E1175" s="7" t="n">
        <f>HYPERLINK("https://www.somogyi.sk/productimages/product_main_images/small/02885.jpg","https://www.somogyi.sk/productimages/product_main_images/small/02885.jpg")</f>
        <v>0.0</v>
      </c>
      <c r="F1175" s="2" t="inlineStr">
        <is>
          <t>5998312732090</t>
        </is>
      </c>
      <c r="G1175" s="4" t="inlineStr">
        <is>
          <t xml:space="preserve"> • materiál základnej žily: meď 
 • počet žíl: 4 žily 
 • priemer vlákna: 4C x (7 x 0,12 mm) 
 • farba izolácie: biela 
 • meter / kotúč: 100 m</t>
        </is>
      </c>
    </row>
    <row r="1176">
      <c r="A1176" s="6" t="inlineStr">
        <is>
          <t xml:space="preserve">   Audio-video doplnky / Telefónny kábel s konektorom</t>
        </is>
      </c>
      <c r="B1176" s="6" t="inlineStr">
        <is>
          <t/>
        </is>
      </c>
      <c r="C1176" s="6" t="inlineStr">
        <is>
          <t/>
        </is>
      </c>
      <c r="D1176" s="6" t="inlineStr">
        <is>
          <t/>
        </is>
      </c>
      <c r="E1176" s="6" t="inlineStr">
        <is>
          <t/>
        </is>
      </c>
      <c r="F1176" s="6" t="inlineStr">
        <is>
          <t/>
        </is>
      </c>
      <c r="G1176" s="6" t="inlineStr">
        <is>
          <t/>
        </is>
      </c>
    </row>
    <row r="1177">
      <c r="A1177" s="3" t="inlineStr">
        <is>
          <t>T 5-10/WH</t>
        </is>
      </c>
      <c r="B1177" s="2" t="inlineStr">
        <is>
          <t>Telefónny kábel, 6P4C, vidlica-vidlica, 10m</t>
        </is>
      </c>
      <c r="C1177" s="1" t="n">
        <v>2.79</v>
      </c>
      <c r="D1177" s="7" t="n">
        <f>HYPERLINK("https://www.somogyi.sk/product/telefonny-kabel-6p4c-vidlica-vidlica-10m-t-5-10-wh-2909","https://www.somogyi.sk/product/telefonny-kabel-6p4c-vidlica-vidlica-10m-t-5-10-wh-2909")</f>
        <v>0.0</v>
      </c>
      <c r="E1177" s="7" t="n">
        <f>HYPERLINK("https://www.somogyi.sk/productimages/product_main_images/small/02909.jpg","https://www.somogyi.sk/productimages/product_main_images/small/02909.jpg")</f>
        <v>0.0</v>
      </c>
      <c r="F1177" s="2" t="inlineStr">
        <is>
          <t>5998312732335</t>
        </is>
      </c>
      <c r="G1177" s="4" t="inlineStr">
        <is>
          <t xml:space="preserve"> • funkcia / prevedenie: na zapojenie telefónu 
 • prípojky: 2 x (6P / 4C) 
 • pozlátené kontakty: áno 
 • dĺžka kábla: 10 m</t>
        </is>
      </c>
    </row>
    <row r="1178">
      <c r="A1178" s="3" t="inlineStr">
        <is>
          <t>T 5-5WH/X</t>
        </is>
      </c>
      <c r="B1178" s="2" t="inlineStr">
        <is>
          <t>Telefónny kábel, 6P4C, vidlica-vidlica, 5m, blister</t>
        </is>
      </c>
      <c r="C1178" s="1" t="n">
        <v>1.99</v>
      </c>
      <c r="D1178" s="7" t="n">
        <f>HYPERLINK("https://www.somogyi.sk/product/telefonny-kabel-6p4c-vidlica-vidlica-5m-blister-t-5-5wh-x-2906","https://www.somogyi.sk/product/telefonny-kabel-6p4c-vidlica-vidlica-5m-blister-t-5-5wh-x-2906")</f>
        <v>0.0</v>
      </c>
      <c r="E1178" s="7" t="n">
        <f>HYPERLINK("https://www.somogyi.sk/productimages/product_main_images/small/02906.jpg","https://www.somogyi.sk/productimages/product_main_images/small/02906.jpg")</f>
        <v>0.0</v>
      </c>
      <c r="F1178" s="2" t="inlineStr">
        <is>
          <t>5998312732304</t>
        </is>
      </c>
      <c r="G1178" s="4" t="inlineStr">
        <is>
          <t xml:space="preserve"> • funkcia / prevedenie: na zapojenie telefónu 
 • prípojky: 2 x (6P / 4C) 
 • pozlátené kontakty: áno 
 • dĺžka kábla: 5 m 
 • blister: áno</t>
        </is>
      </c>
    </row>
    <row r="1179">
      <c r="A1179" s="3" t="inlineStr">
        <is>
          <t>T 5-10WH/X</t>
        </is>
      </c>
      <c r="B1179" s="2" t="inlineStr">
        <is>
          <t>Telefónny kábel, 6P4C, vidlica-vidlica, 10m, blister</t>
        </is>
      </c>
      <c r="C1179" s="1" t="n">
        <v>3.29</v>
      </c>
      <c r="D1179" s="7" t="n">
        <f>HYPERLINK("https://www.somogyi.sk/product/telefonny-kabel-6p4c-vidlica-vidlica-10m-blister-t-5-10wh-x-2905","https://www.somogyi.sk/product/telefonny-kabel-6p4c-vidlica-vidlica-10m-blister-t-5-10wh-x-2905")</f>
        <v>0.0</v>
      </c>
      <c r="E1179" s="7" t="n">
        <f>HYPERLINK("https://www.somogyi.sk/productimages/product_main_images/small/02905.jpg","https://www.somogyi.sk/productimages/product_main_images/small/02905.jpg")</f>
        <v>0.0</v>
      </c>
      <c r="F1179" s="2" t="inlineStr">
        <is>
          <t>5998312732298</t>
        </is>
      </c>
      <c r="G1179" s="4" t="inlineStr">
        <is>
          <t xml:space="preserve"> • funkcia / prevedenie: na zapojenie telefónu 
 • prípojky: 2 x (6P / 4C) 
 • pozlátené kontakty: áno 
 • dĺžka kábla: 10 m 
 • blister: áno</t>
        </is>
      </c>
    </row>
    <row r="1180">
      <c r="A1180" s="3" t="inlineStr">
        <is>
          <t>T 5-5/WH</t>
        </is>
      </c>
      <c r="B1180" s="2" t="inlineStr">
        <is>
          <t>Telefónny kábel, 6P4C, vidlica-zásuvka, 5m</t>
        </is>
      </c>
      <c r="C1180" s="1" t="n">
        <v>1.69</v>
      </c>
      <c r="D1180" s="7" t="n">
        <f>HYPERLINK("https://www.somogyi.sk/product/telefonny-kabel-6p4c-vidlica-zasuvka-5m-t-5-5-wh-2910","https://www.somogyi.sk/product/telefonny-kabel-6p4c-vidlica-zasuvka-5m-t-5-5-wh-2910")</f>
        <v>0.0</v>
      </c>
      <c r="E1180" s="7" t="n">
        <f>HYPERLINK("https://www.somogyi.sk/productimages/product_main_images/small/02910.jpg","https://www.somogyi.sk/productimages/product_main_images/small/02910.jpg")</f>
        <v>0.0</v>
      </c>
      <c r="F1180" s="2" t="inlineStr">
        <is>
          <t>5998312732342</t>
        </is>
      </c>
      <c r="G1180" s="4" t="inlineStr">
        <is>
          <t xml:space="preserve"> • funkcia / prevedenie: na zapojenie telefónu 
 • prípojky: 2 x (6P / 4C) 
 • pozlátené kontakty: áno 
 • dĺžka kábla: 5 m</t>
        </is>
      </c>
    </row>
    <row r="1181">
      <c r="A1181" s="6" t="inlineStr">
        <is>
          <t xml:space="preserve">   Audio-video doplnky / Náhradný telefónny zvonček</t>
        </is>
      </c>
      <c r="B1181" s="6" t="inlineStr">
        <is>
          <t/>
        </is>
      </c>
      <c r="C1181" s="6" t="inlineStr">
        <is>
          <t/>
        </is>
      </c>
      <c r="D1181" s="6" t="inlineStr">
        <is>
          <t/>
        </is>
      </c>
      <c r="E1181" s="6" t="inlineStr">
        <is>
          <t/>
        </is>
      </c>
      <c r="F1181" s="6" t="inlineStr">
        <is>
          <t/>
        </is>
      </c>
      <c r="G1181" s="6" t="inlineStr">
        <is>
          <t/>
        </is>
      </c>
    </row>
    <row r="1182">
      <c r="A1182" s="3" t="inlineStr">
        <is>
          <t>RINGER</t>
        </is>
      </c>
      <c r="B1182" s="2" t="inlineStr">
        <is>
          <t>Doplnkový telefónny zvonček</t>
        </is>
      </c>
      <c r="C1182" s="1" t="n">
        <v>11.99</v>
      </c>
      <c r="D1182" s="7" t="n">
        <f>HYPERLINK("https://www.somogyi.sk/product/doplnkovy-telefonny-zvoncek-ringer-2945","https://www.somogyi.sk/product/doplnkovy-telefonny-zvoncek-ringer-2945")</f>
        <v>0.0</v>
      </c>
      <c r="E1182" s="7" t="n">
        <f>HYPERLINK("https://www.somogyi.sk/productimages/product_main_images/small/02945.jpg","https://www.somogyi.sk/productimages/product_main_images/small/02945.jpg")</f>
        <v>0.0</v>
      </c>
      <c r="F1182" s="2" t="inlineStr">
        <is>
          <t>5998312732694</t>
        </is>
      </c>
      <c r="G1182" s="4" t="inlineStr">
        <is>
          <t xml:space="preserve"> • funkcia: zvukový a svetelný signál 
 • kompatibilita: ku každej klasickej telefónnej linke 
 • hlasitosť: vysoká / nízka / vypnutá 
 • príslušenstvo: 1,2 m telefónny kábel</t>
        </is>
      </c>
    </row>
    <row r="1183">
      <c r="A1183" s="6" t="inlineStr">
        <is>
          <t xml:space="preserve">   Audio-video doplnky / Telefónna prípojka, spojka, rozbočovač</t>
        </is>
      </c>
      <c r="B1183" s="6" t="inlineStr">
        <is>
          <t/>
        </is>
      </c>
      <c r="C1183" s="6" t="inlineStr">
        <is>
          <t/>
        </is>
      </c>
      <c r="D1183" s="6" t="inlineStr">
        <is>
          <t/>
        </is>
      </c>
      <c r="E1183" s="6" t="inlineStr">
        <is>
          <t/>
        </is>
      </c>
      <c r="F1183" s="6" t="inlineStr">
        <is>
          <t/>
        </is>
      </c>
      <c r="G1183" s="6" t="inlineStr">
        <is>
          <t/>
        </is>
      </c>
    </row>
    <row r="1184">
      <c r="A1184" s="3" t="inlineStr">
        <is>
          <t>TS 51</t>
        </is>
      </c>
      <c r="B1184" s="2" t="inlineStr">
        <is>
          <t>Telefónna vidlica, 8P8C, RJ45</t>
        </is>
      </c>
      <c r="C1184" s="1" t="n">
        <v>0.2</v>
      </c>
      <c r="D1184" s="7" t="n">
        <f>HYPERLINK("https://www.somogyi.sk/product/telefonna-vidlica-8p8c-rj45-ts-51-4709","https://www.somogyi.sk/product/telefonna-vidlica-8p8c-rj45-ts-51-4709")</f>
        <v>0.0</v>
      </c>
      <c r="E1184" s="7" t="n">
        <f>HYPERLINK("https://www.somogyi.sk/productimages/product_main_images/small/04709.jpg","https://www.somogyi.sk/productimages/product_main_images/small/04709.jpg")</f>
        <v>0.0</v>
      </c>
      <c r="F1184" s="2" t="inlineStr">
        <is>
          <t>5998312741542</t>
        </is>
      </c>
      <c r="G1184" s="4" t="inlineStr">
        <is>
          <t xml:space="preserve"> • funkcia: prípojka 
 • prípojka: vidlica 
 • pól / kontakt: 8P / 8C 
 • zapojenie: lisovacia koncovka</t>
        </is>
      </c>
    </row>
    <row r="1185">
      <c r="A1185" s="3" t="inlineStr">
        <is>
          <t>TS 13X</t>
        </is>
      </c>
      <c r="B1185" s="2" t="inlineStr">
        <is>
          <t>Telefónna vidlica, 6P4C, RJ11, blister</t>
        </is>
      </c>
      <c r="C1185" s="1" t="n">
        <v>0.65</v>
      </c>
      <c r="D1185" s="7" t="n">
        <f>HYPERLINK("https://www.somogyi.sk/product/telefonna-vidlica-6p4c-rj11-blister-ts-13x-2281","https://www.somogyi.sk/product/telefonna-vidlica-6p4c-rj11-blister-ts-13x-2281")</f>
        <v>0.0</v>
      </c>
      <c r="E1185" s="7" t="n">
        <f>HYPERLINK("https://www.somogyi.sk/productimages/product_main_images/small/02281.jpg","https://www.somogyi.sk/productimages/product_main_images/small/02281.jpg")</f>
        <v>0.0</v>
      </c>
      <c r="F1185" s="2" t="inlineStr">
        <is>
          <t>5998312725474</t>
        </is>
      </c>
      <c r="G1185" s="4" t="inlineStr">
        <is>
          <t xml:space="preserve"> • funkcia: prípojka 
 • prípojka: vidlica 
 • pól / kontakt: 6P / 4C 
 • zapojenie: lisovacia koncovka 
 • blister: áno</t>
        </is>
      </c>
    </row>
    <row r="1186">
      <c r="A1186" s="3" t="inlineStr">
        <is>
          <t>TS 15WH/X</t>
        </is>
      </c>
      <c r="B1186" s="2" t="inlineStr">
        <is>
          <t>Telefónna spojka, 6P4C, zásuvka-zásuvka, blister</t>
        </is>
      </c>
      <c r="C1186" s="1" t="n">
        <v>0.95</v>
      </c>
      <c r="D1186" s="7" t="n">
        <f>HYPERLINK("https://www.somogyi.sk/product/telefonna-spojka-6p4c-zasuvka-zasuvka-blister-ts-15wh-x-2935","https://www.somogyi.sk/product/telefonna-spojka-6p4c-zasuvka-zasuvka-blister-ts-15wh-x-2935")</f>
        <v>0.0</v>
      </c>
      <c r="E1186" s="7" t="n">
        <f>HYPERLINK("https://www.somogyi.sk/productimages/product_main_images/small/02935.jpg","https://www.somogyi.sk/productimages/product_main_images/small/02935.jpg")</f>
        <v>0.0</v>
      </c>
      <c r="F1186" s="2" t="inlineStr">
        <is>
          <t>5998312732595</t>
        </is>
      </c>
      <c r="G1186" s="4" t="inlineStr">
        <is>
          <t xml:space="preserve"> • funkcia: spojka 
 • prípojka: zásuvka / zásuvka 
 • pól / kontakt: 6P / 4C 
 • farba: biela 
 • blister: áno</t>
        </is>
      </c>
    </row>
    <row r="1187">
      <c r="A1187" s="3" t="inlineStr">
        <is>
          <t>TS 16-2WH/X</t>
        </is>
      </c>
      <c r="B1187" s="2" t="inlineStr">
        <is>
          <t>Telefónny rozbočovač, 6P4C, 1 vidlica-2 zásuvky, blister</t>
        </is>
      </c>
      <c r="C1187" s="1" t="n">
        <v>1.19</v>
      </c>
      <c r="D1187" s="7" t="n">
        <f>HYPERLINK("https://www.somogyi.sk/product/telefonny-rozbocovac-6p4c-1-vidlica-2-zasuvky-blister-ts-16-2wh-x-2936","https://www.somogyi.sk/product/telefonny-rozbocovac-6p4c-1-vidlica-2-zasuvky-blister-ts-16-2wh-x-2936")</f>
        <v>0.0</v>
      </c>
      <c r="E1187" s="7" t="n">
        <f>HYPERLINK("https://www.somogyi.sk/productimages/product_main_images/small/02936.jpg","https://www.somogyi.sk/productimages/product_main_images/small/02936.jpg")</f>
        <v>0.0</v>
      </c>
      <c r="F1187" s="2" t="inlineStr">
        <is>
          <t>5998312732601</t>
        </is>
      </c>
      <c r="G1187" s="4" t="inlineStr">
        <is>
          <t xml:space="preserve"> • funkcia: rozbočovač 
 • prípojka: vidlica / 2 x zásuvka 
 • pól / kontakt: 6P / 4C 
 • farba: biela 
 • blister: áno</t>
        </is>
      </c>
    </row>
    <row r="1188">
      <c r="A1188" s="3" t="inlineStr">
        <is>
          <t>TS 17-2</t>
        </is>
      </c>
      <c r="B1188" s="2" t="inlineStr">
        <is>
          <t>Rozbočovač k telefónnemu káblu, 6P4C, 1 zásuvka-2 zásuvky</t>
        </is>
      </c>
      <c r="C1188" s="1" t="n">
        <v>0.99</v>
      </c>
      <c r="D1188" s="7" t="n">
        <f>HYPERLINK("https://www.somogyi.sk/product/rozbocovac-k-telefonnemu-kablu-6p4c-1-zasuvka-2-zasuvky-ts-17-2-5232","https://www.somogyi.sk/product/rozbocovac-k-telefonnemu-kablu-6p4c-1-zasuvka-2-zasuvky-ts-17-2-5232")</f>
        <v>0.0</v>
      </c>
      <c r="E1188" s="7" t="n">
        <f>HYPERLINK("https://www.somogyi.sk/productimages/product_main_images/small/05232.jpg","https://www.somogyi.sk/productimages/product_main_images/small/05232.jpg")</f>
        <v>0.0</v>
      </c>
      <c r="F1188" s="2" t="inlineStr">
        <is>
          <t>5998312746196</t>
        </is>
      </c>
      <c r="G1188" s="4" t="inlineStr">
        <is>
          <t xml:space="preserve"> • funkcia: rozbočovač 
 • prípojka: zásuvka / 2 x zásuvka 
 • pól / kontakt: 6P / 4C 
 • farba: biela</t>
        </is>
      </c>
    </row>
    <row r="1189">
      <c r="A1189" s="3" t="inlineStr">
        <is>
          <t>TS 51PRO</t>
        </is>
      </c>
      <c r="B1189" s="2" t="inlineStr">
        <is>
          <t>Prechodová RJ45 vidlica</t>
        </is>
      </c>
      <c r="C1189" s="1" t="n">
        <v>0.22</v>
      </c>
      <c r="D1189" s="7" t="n">
        <f>HYPERLINK("https://www.somogyi.sk/product/prechodova-rj45-vidlica-ts-51pro-17857","https://www.somogyi.sk/product/prechodova-rj45-vidlica-ts-51pro-17857")</f>
        <v>0.0</v>
      </c>
      <c r="E1189" s="7" t="n">
        <f>HYPERLINK("https://www.somogyi.sk/productimages/product_main_images/small/17857.jpg","https://www.somogyi.sk/productimages/product_main_images/small/17857.jpg")</f>
        <v>0.0</v>
      </c>
      <c r="F1189" s="2" t="inlineStr">
        <is>
          <t>5999084958794</t>
        </is>
      </c>
      <c r="G1189" s="4" t="inlineStr">
        <is>
          <t xml:space="preserve"> • otvorená predná strana 
 • rýchlejšie zapojenie, menej chýb, lepší kontakt 
 • môže sa používať aj s bežnými lisovacími kliešťami</t>
        </is>
      </c>
    </row>
    <row r="1190">
      <c r="A1190" s="3" t="inlineStr">
        <is>
          <t>TS 52/WH</t>
        </is>
      </c>
      <c r="B1190" s="2" t="inlineStr">
        <is>
          <t>Kryt k telefónnej vidlici RJ-45</t>
        </is>
      </c>
      <c r="C1190" s="1" t="n">
        <v>0.17</v>
      </c>
      <c r="D1190" s="7" t="n">
        <f>HYPERLINK("https://www.somogyi.sk/product/kryt-k-telefonnej-vidlici-rj-45-ts-52-wh-4737","https://www.somogyi.sk/product/kryt-k-telefonnej-vidlici-rj-45-ts-52-wh-4737")</f>
        <v>0.0</v>
      </c>
      <c r="E1190" s="7" t="n">
        <f>HYPERLINK("https://www.somogyi.sk/productimages/product_main_images/small/04737.jpg","https://www.somogyi.sk/productimages/product_main_images/small/04737.jpg")</f>
        <v>0.0</v>
      </c>
      <c r="F1190" s="2" t="inlineStr">
        <is>
          <t>5998312741818</t>
        </is>
      </c>
      <c r="G1190" s="4" t="inlineStr">
        <is>
          <t xml:space="preserve"> • funkcia: kryt k telefónnej vidlici RJ 45 
 • farba: biela</t>
        </is>
      </c>
    </row>
    <row r="1191">
      <c r="A1191" s="3" t="inlineStr">
        <is>
          <t>TT 1-1</t>
        </is>
      </c>
      <c r="B1191" s="2" t="inlineStr">
        <is>
          <t>ISDN spojka, 8P8C, zásuvka-zásuvka</t>
        </is>
      </c>
      <c r="C1191" s="1" t="n">
        <v>1.39</v>
      </c>
      <c r="D1191" s="7" t="n">
        <f>HYPERLINK("https://www.somogyi.sk/product/isdn-spojka-8p8c-zasuvka-zasuvka-tt-1-1-5234","https://www.somogyi.sk/product/isdn-spojka-8p8c-zasuvka-zasuvka-tt-1-1-5234")</f>
        <v>0.0</v>
      </c>
      <c r="E1191" s="7" t="n">
        <f>HYPERLINK("https://www.somogyi.sk/productimages/product_main_images/small/05234.jpg","https://www.somogyi.sk/productimages/product_main_images/small/05234.jpg")</f>
        <v>0.0</v>
      </c>
      <c r="F1191" s="2" t="inlineStr">
        <is>
          <t>5998312746219</t>
        </is>
      </c>
      <c r="G1191" s="4" t="inlineStr">
        <is>
          <t xml:space="preserve"> • funkcia: spojka 
 • prípojka: zásuvka / zásuvka 
 • pól / kontakt: 8P / 8C 
 • farba: biela</t>
        </is>
      </c>
    </row>
    <row r="1192">
      <c r="A1192" s="3" t="inlineStr">
        <is>
          <t>TS 1MWH/X</t>
        </is>
      </c>
      <c r="B1192" s="2" t="inlineStr">
        <is>
          <t>Telefónna nástenná zásuvka, 1x6P4C, blister</t>
        </is>
      </c>
      <c r="C1192" s="1" t="n">
        <v>2.49</v>
      </c>
      <c r="D1192" s="7" t="n">
        <f>HYPERLINK("https://www.somogyi.sk/product/telefonna-nastenna-zasuvka-1x6p4c-blister-ts-1mwh-x-2938","https://www.somogyi.sk/product/telefonna-nastenna-zasuvka-1x6p4c-blister-ts-1mwh-x-2938")</f>
        <v>0.0</v>
      </c>
      <c r="E1192" s="7" t="n">
        <f>HYPERLINK("https://www.somogyi.sk/productimages/product_main_images/small/02938.jpg","https://www.somogyi.sk/productimages/product_main_images/small/02938.jpg")</f>
        <v>0.0</v>
      </c>
      <c r="F1192" s="2" t="inlineStr">
        <is>
          <t>5998312732625</t>
        </is>
      </c>
      <c r="G1192" s="4" t="inlineStr">
        <is>
          <t xml:space="preserve"> • funkcia: nástenná zásuvka 
 • prípojka: zásuvka 
 • pól / kontakt: 6P / 4C 
 • farba: biela 
 • zapojenie: skrutkovateľná 
 • blister: áno</t>
        </is>
      </c>
    </row>
    <row r="1193">
      <c r="A1193" s="3" t="inlineStr">
        <is>
          <t>TS 16-2/WH</t>
        </is>
      </c>
      <c r="B1193" s="2" t="inlineStr">
        <is>
          <t>Rozbočovač k telefónnemu káblu, 6P4C, 1 vidlica-2 zásuvky</t>
        </is>
      </c>
      <c r="C1193" s="1" t="n">
        <v>0.85</v>
      </c>
      <c r="D1193" s="7" t="n">
        <f>HYPERLINK("https://www.somogyi.sk/product/rozbocovac-k-telefonnemu-kablu-6p4c-1-vidlica-2-zasuvky-ts-16-2-wh-2903","https://www.somogyi.sk/product/rozbocovac-k-telefonnemu-kablu-6p4c-1-vidlica-2-zasuvky-ts-16-2-wh-2903")</f>
        <v>0.0</v>
      </c>
      <c r="E1193" s="7" t="n">
        <f>HYPERLINK("https://www.somogyi.sk/productimages/product_main_images/small/02903.jpg","https://www.somogyi.sk/productimages/product_main_images/small/02903.jpg")</f>
        <v>0.0</v>
      </c>
      <c r="F1193" s="2" t="inlineStr">
        <is>
          <t>5998312732274</t>
        </is>
      </c>
      <c r="G1193" s="4" t="inlineStr">
        <is>
          <t xml:space="preserve"> • funkcia: rozbočovač 
 • prípojka: vidlica / 2 x zásuvka 
 • pól / kontakt: 6P / 4C 
 • farba: biela</t>
        </is>
      </c>
    </row>
    <row r="1194">
      <c r="A1194" s="3" t="inlineStr">
        <is>
          <t>TS 15/WH</t>
        </is>
      </c>
      <c r="B1194" s="2" t="inlineStr">
        <is>
          <t>Telefónna spojka, 6P/4C, zásuvka-zásuvka</t>
        </is>
      </c>
      <c r="C1194" s="1" t="n">
        <v>0.65</v>
      </c>
      <c r="D1194" s="7" t="n">
        <f>HYPERLINK("https://www.somogyi.sk/product/telefonna-spojka-6p-4c-zasuvka-zasuvka-ts-15-wh-2902","https://www.somogyi.sk/product/telefonna-spojka-6p-4c-zasuvka-zasuvka-ts-15-wh-2902")</f>
        <v>0.0</v>
      </c>
      <c r="E1194" s="7" t="n">
        <f>HYPERLINK("https://www.somogyi.sk/productimages/product_main_images/small/02902.jpg","https://www.somogyi.sk/productimages/product_main_images/small/02902.jpg")</f>
        <v>0.0</v>
      </c>
      <c r="F1194" s="2" t="inlineStr">
        <is>
          <t>5998312732267</t>
        </is>
      </c>
      <c r="G1194" s="4" t="inlineStr">
        <is>
          <t xml:space="preserve"> • funkcia: spojka 
 • prípojka: zásuvka / zásuvka 
 • pól / kontakt: 6P / 4C 
 • farba: biela</t>
        </is>
      </c>
    </row>
    <row r="1195">
      <c r="A1195" s="3" t="inlineStr">
        <is>
          <t>TS 13</t>
        </is>
      </c>
      <c r="B1195" s="2" t="inlineStr">
        <is>
          <t>Telefónna vidlica, 6P4C, RJ11</t>
        </is>
      </c>
      <c r="C1195" s="1" t="n">
        <v>0.09</v>
      </c>
      <c r="D1195" s="7" t="n">
        <f>HYPERLINK("https://www.somogyi.sk/product/telefonna-vidlica-6p4c-rj11-ts-13-1930","https://www.somogyi.sk/product/telefonna-vidlica-6p4c-rj11-ts-13-1930")</f>
        <v>0.0</v>
      </c>
      <c r="E1195" s="7" t="n">
        <f>HYPERLINK("https://www.somogyi.sk/productimages/product_main_images/small/01930.jpg","https://www.somogyi.sk/productimages/product_main_images/small/01930.jpg")</f>
        <v>0.0</v>
      </c>
      <c r="F1195" s="2" t="inlineStr">
        <is>
          <t>5998312705339</t>
        </is>
      </c>
      <c r="G1195" s="4" t="inlineStr">
        <is>
          <t xml:space="preserve"> • funkcia: prípojka 
 • prípojka: vidlica 
 • pól / kontakt: 6P / 4C 
 • zapojenie: lisovacia koncovka</t>
        </is>
      </c>
    </row>
    <row r="1196">
      <c r="A1196" s="3" t="inlineStr">
        <is>
          <t>TS 1M/WH</t>
        </is>
      </c>
      <c r="B1196" s="2" t="inlineStr">
        <is>
          <t>Telefónna nástenná zásuvka, 1x6P4C</t>
        </is>
      </c>
      <c r="C1196" s="1" t="n">
        <v>2.19</v>
      </c>
      <c r="D1196" s="7" t="n">
        <f>HYPERLINK("https://www.somogyi.sk/product/telefonna-nastenna-zasuvka-1x6p4c-ts-1m-wh-2911","https://www.somogyi.sk/product/telefonna-nastenna-zasuvka-1x6p4c-ts-1m-wh-2911")</f>
        <v>0.0</v>
      </c>
      <c r="E1196" s="7" t="n">
        <f>HYPERLINK("https://www.somogyi.sk/productimages/product_main_images/small/02911.jpg","https://www.somogyi.sk/productimages/product_main_images/small/02911.jpg")</f>
        <v>0.0</v>
      </c>
      <c r="F1196" s="2" t="inlineStr">
        <is>
          <t>5998312732359</t>
        </is>
      </c>
      <c r="G1196" s="4" t="inlineStr">
        <is>
          <t xml:space="preserve"> • funkcia: nástenná zásuvka 
 • prípojka: zásuvka 
 • pól / kontakt: 6P / 4C 
 • farba: biela 
 • zapojenie: skrutkovateľná koncovka</t>
        </is>
      </c>
    </row>
    <row r="1197">
      <c r="A1197" s="6" t="inlineStr">
        <is>
          <t xml:space="preserve">   Príslušenstvo do auta / Menič napätia, nabíjačka akumulátora</t>
        </is>
      </c>
      <c r="B1197" s="6" t="inlineStr">
        <is>
          <t/>
        </is>
      </c>
      <c r="C1197" s="6" t="inlineStr">
        <is>
          <t/>
        </is>
      </c>
      <c r="D1197" s="6" t="inlineStr">
        <is>
          <t/>
        </is>
      </c>
      <c r="E1197" s="6" t="inlineStr">
        <is>
          <t/>
        </is>
      </c>
      <c r="F1197" s="6" t="inlineStr">
        <is>
          <t/>
        </is>
      </c>
      <c r="G1197" s="6" t="inlineStr">
        <is>
          <t/>
        </is>
      </c>
    </row>
    <row r="1198">
      <c r="A1198" s="3" t="inlineStr">
        <is>
          <t>SA 023</t>
        </is>
      </c>
      <c r="B1198" s="2" t="inlineStr">
        <is>
          <t>Rozdeľovacia zásuvka autozapaľovača, trojitá + USB zásuvka</t>
        </is>
      </c>
      <c r="C1198" s="1" t="n">
        <v>9.69</v>
      </c>
      <c r="D1198" s="7" t="n">
        <f>HYPERLINK("https://www.somogyi.sk/product/rozdelovacia-zasuvka-autozapalovaca-trojita-usb-zasuvka-sa-023-8545","https://www.somogyi.sk/product/rozdelovacia-zasuvka-autozapalovaca-trojita-usb-zasuvka-sa-023-8545")</f>
        <v>0.0</v>
      </c>
      <c r="E1198" s="7" t="n">
        <f>HYPERLINK("https://www.somogyi.sk/productimages/product_main_images/small/08545.jpg","https://www.somogyi.sk/productimages/product_main_images/small/08545.jpg")</f>
        <v>0.0</v>
      </c>
      <c r="F1198" s="2" t="inlineStr">
        <is>
          <t>5998312774403</t>
        </is>
      </c>
      <c r="G1198" s="4" t="inlineStr">
        <is>
          <t xml:space="preserve"> • napätie: 12 V DC 
 • zaťažiteľnosť: max. 5 A 
 • výstup: 3 x zásuvka autozapaľovača, USB: 5 V DC / max. 1000 mA 
 • pozlátená prípojka: nie 
 • skrutkovateľné pripojenie: nie 
 • spájkovateľné pripojenie: nie 
 • dĺžka kábla: 70 cm</t>
        </is>
      </c>
    </row>
    <row r="1199">
      <c r="A1199" s="3" t="inlineStr">
        <is>
          <t>SMC 38</t>
        </is>
      </c>
      <c r="B1199" s="2" t="inlineStr">
        <is>
          <t>Nabíjačka akumulátora, 6-12V/3.8A, SMART, LCD</t>
        </is>
      </c>
      <c r="C1199" s="1" t="n">
        <v>44.99</v>
      </c>
      <c r="D1199" s="7" t="n">
        <f>HYPERLINK("https://www.somogyi.sk/product/nabijacka-akumulatora-6-12v-3-8a-smart-lcd-smc-38-16185","https://www.somogyi.sk/product/nabijacka-akumulatora-6-12v-3-8a-smart-lcd-smc-38-16185")</f>
        <v>0.0</v>
      </c>
      <c r="E1199" s="7" t="n">
        <f>HYPERLINK("https://www.somogyi.sk/productimages/product_main_images/small/16185.jpg","https://www.somogyi.sk/productimages/product_main_images/small/16185.jpg")</f>
        <v>0.0</v>
      </c>
      <c r="F1199" s="2" t="inlineStr">
        <is>
          <t>5999084942175</t>
        </is>
      </c>
      <c r="G1199" s="4" t="inlineStr">
        <is>
          <t xml:space="preserve"> • vstupné napätie: 230 V~ / 50 Hz 
 •  
 • materiál krytu: plast 
 • ochrana proti prehriatiu: áno 
 • ochrana proti skratu: áno 
 • nabíjanie: 5 stupňový automatický SMART nabíjací program 
 • rozmery: 185 x 47 x 70 mm</t>
        </is>
      </c>
    </row>
    <row r="1200">
      <c r="A1200" s="6" t="inlineStr">
        <is>
          <t xml:space="preserve">   Príslušenstvo do auta / Elektrická prípojka</t>
        </is>
      </c>
      <c r="B1200" s="6" t="inlineStr">
        <is>
          <t/>
        </is>
      </c>
      <c r="C1200" s="6" t="inlineStr">
        <is>
          <t/>
        </is>
      </c>
      <c r="D1200" s="6" t="inlineStr">
        <is>
          <t/>
        </is>
      </c>
      <c r="E1200" s="6" t="inlineStr">
        <is>
          <t/>
        </is>
      </c>
      <c r="F1200" s="6" t="inlineStr">
        <is>
          <t/>
        </is>
      </c>
      <c r="G1200" s="6" t="inlineStr">
        <is>
          <t/>
        </is>
      </c>
    </row>
    <row r="1201">
      <c r="A1201" s="3" t="inlineStr">
        <is>
          <t>SS 1116/N</t>
        </is>
      </c>
      <c r="B1201" s="2" t="inlineStr">
        <is>
          <t xml:space="preserve">Akumulátorová pripojovacia svorka do auta, negatívna, pozlátená </t>
        </is>
      </c>
      <c r="C1201" s="1" t="n">
        <v>7.19</v>
      </c>
      <c r="D1201" s="7" t="n">
        <f>HYPERLINK("https://www.somogyi.sk/product/akumulatorova-pripojovacia-svorka-do-auta-negativna-pozlatena-ss-1116-n-4623","https://www.somogyi.sk/product/akumulatorova-pripojovacia-svorka-do-auta-negativna-pozlatena-ss-1116-n-4623")</f>
        <v>0.0</v>
      </c>
      <c r="E1201" s="7" t="n">
        <f>HYPERLINK("https://www.somogyi.sk/productimages/product_main_images/small/04623.jpg","https://www.somogyi.sk/productimages/product_main_images/small/04623.jpg")</f>
        <v>0.0</v>
      </c>
      <c r="F1201" s="2" t="inlineStr">
        <is>
          <t>5998312740798</t>
        </is>
      </c>
      <c r="G1201" s="4" t="inlineStr">
        <is>
          <t xml:space="preserve"> • skrutkovateľné pripojenie: 2 x 10² + M8 skrutka s Ø16 mm podložkou 
 • spájkovateľné pripojenie: nie 
 • ďalšie informácie: titánium, s pozlátenými skrutkami</t>
        </is>
      </c>
    </row>
    <row r="1202">
      <c r="A1202" s="3" t="inlineStr">
        <is>
          <t>94838</t>
        </is>
      </c>
      <c r="B1202" s="2" t="inlineStr">
        <is>
          <t>Predlžovačka do autozapaľovača, vidlica-zásuvka, 4 m</t>
        </is>
      </c>
      <c r="C1202" s="1" t="n">
        <v>8.29</v>
      </c>
      <c r="D1202" s="7" t="n">
        <f>HYPERLINK("https://www.somogyi.sk/product/predlzovacka-do-autozapalovaca-vidlica-zasuvka-4-m-94838-14877","https://www.somogyi.sk/product/predlzovacka-do-autozapalovaca-vidlica-zasuvka-4-m-94838-14877")</f>
        <v>0.0</v>
      </c>
      <c r="E1202" s="7" t="n">
        <f>HYPERLINK("https://www.somogyi.sk/productimages/product_main_images/small/14877.jpg","https://www.somogyi.sk/productimages/product_main_images/small/14877.jpg")</f>
        <v>0.0</v>
      </c>
      <c r="F1202" s="2" t="inlineStr">
        <is>
          <t>8586017594838</t>
        </is>
      </c>
      <c r="G1202" s="4" t="inlineStr">
        <is>
          <t xml:space="preserve"> • napätie: 12-24V DC 
 • zaťažiteľnosť: max. 10 A (poistka) 
 • výstup: zásuvka do autozapaľovača 
 • pozlátená prípojka: nie 
 • skrutkovateľné pripojenie: nie 
 • spájkovateľné pripojenie: nie 
 • dĺžka kábla: cca. 4 m 
 • ďalšie informácie: červené LED signalizačné svietidlo so špirálovým vedením</t>
        </is>
      </c>
    </row>
    <row r="1203">
      <c r="A1203" s="3" t="inlineStr">
        <is>
          <t>90762</t>
        </is>
      </c>
      <c r="B1203" s="2" t="inlineStr">
        <is>
          <t>Vidlica na príves</t>
        </is>
      </c>
      <c r="C1203" s="1" t="n">
        <v>5.49</v>
      </c>
      <c r="D1203" s="7" t="n">
        <f>HYPERLINK("https://www.somogyi.sk/product/vidlica-na-prives-90762-13819","https://www.somogyi.sk/product/vidlica-na-prives-90762-13819")</f>
        <v>0.0</v>
      </c>
      <c r="E1203" s="7" t="n">
        <f>HYPERLINK("https://www.somogyi.sk/productimages/product_main_images/small/13819.jpg","https://www.somogyi.sk/productimages/product_main_images/small/13819.jpg")</f>
        <v>0.0</v>
      </c>
      <c r="F1203" s="2" t="inlineStr">
        <is>
          <t>8586017590762</t>
        </is>
      </c>
      <c r="G1203" s="4" t="inlineStr">
        <is>
          <t xml:space="preserve"> • napätie: 12 V 
 • pozlátená prípojka: nie 
 • skrutkovateľné pripojenie: nie 
 • spájkovateľné pripojenie: áno 
 • ďalšie informácie: 7 pólová, kábel chránený</t>
        </is>
      </c>
    </row>
    <row r="1204">
      <c r="A1204" s="3" t="inlineStr">
        <is>
          <t>WS 20</t>
        </is>
      </c>
      <c r="B1204" s="2" t="inlineStr">
        <is>
          <t xml:space="preserve">Vidlica do autozapaľovača, s poistkou 3A </t>
        </is>
      </c>
      <c r="C1204" s="1" t="n">
        <v>1.35</v>
      </c>
      <c r="D1204" s="7" t="n">
        <f>HYPERLINK("https://www.somogyi.sk/product/vidlica-do-autozapalovaca-s-poistkou-3a-ws-20-4219","https://www.somogyi.sk/product/vidlica-do-autozapalovaca-s-poistkou-3a-ws-20-4219")</f>
        <v>0.0</v>
      </c>
      <c r="E1204" s="7" t="n">
        <f>HYPERLINK("https://www.somogyi.sk/productimages/product_main_images/small/04219.jpg","https://www.somogyi.sk/productimages/product_main_images/small/04219.jpg")</f>
        <v>0.0</v>
      </c>
      <c r="F1204" s="2" t="inlineStr">
        <is>
          <t>5998312737521</t>
        </is>
      </c>
      <c r="G1204" s="4" t="inlineStr">
        <is>
          <t xml:space="preserve"> • napätie: 12 V 
 • zaťažiteľnosť: 3 A 
 • pozlátená prípojka: nie 
 • skrutkovateľné pripojenie: nie 
 • spájkovateľné pripojenie: áno 
 • ďalšie informácie: Ø6 x 30 mm poistka</t>
        </is>
      </c>
    </row>
    <row r="1205">
      <c r="A1205" s="3" t="inlineStr">
        <is>
          <t>WS 11</t>
        </is>
      </c>
      <c r="B1205" s="2" t="inlineStr">
        <is>
          <t xml:space="preserve">Zásuvka do autozapaľovača </t>
        </is>
      </c>
      <c r="C1205" s="1" t="n">
        <v>1.49</v>
      </c>
      <c r="D1205" s="7" t="n">
        <f>HYPERLINK("https://www.somogyi.sk/product/zasuvka-do-autozapalovaca-ws-11-2364","https://www.somogyi.sk/product/zasuvka-do-autozapalovaca-ws-11-2364")</f>
        <v>0.0</v>
      </c>
      <c r="E1205" s="7" t="n">
        <f>HYPERLINK("https://www.somogyi.sk/productimages/product_main_images/small/02364.jpg","https://www.somogyi.sk/productimages/product_main_images/small/02364.jpg")</f>
        <v>0.0</v>
      </c>
      <c r="F1205" s="2" t="inlineStr">
        <is>
          <t>5998312726709</t>
        </is>
      </c>
      <c r="G1205" s="4" t="inlineStr">
        <is>
          <t xml:space="preserve"> • napätie: 12 /24 V 
 • pozlátená prípojka: nie 
 • skrutkovateľné pripojenie: nie 
 • spájkovateľné pripojenie: nie</t>
        </is>
      </c>
    </row>
    <row r="1206">
      <c r="A1206" s="3" t="inlineStr">
        <is>
          <t>91998</t>
        </is>
      </c>
      <c r="B1206" s="2" t="inlineStr">
        <is>
          <t>Autozapaľovač - konektor 8A s poistkou, vypínač</t>
        </is>
      </c>
      <c r="C1206" s="1" t="n">
        <v>5.49</v>
      </c>
      <c r="D1206" s="7" t="n">
        <f>HYPERLINK("https://www.somogyi.sk/product/autozapalovac-konektor-8a-s-poistkou-vypinac-91998-13858","https://www.somogyi.sk/product/autozapalovac-konektor-8a-s-poistkou-vypinac-91998-13858")</f>
        <v>0.0</v>
      </c>
      <c r="E1206" s="7" t="n">
        <f>HYPERLINK("https://www.somogyi.sk/productimages/product_main_images/small/13858.jpg","https://www.somogyi.sk/productimages/product_main_images/small/13858.jpg")</f>
        <v>0.0</v>
      </c>
      <c r="F1206" s="2" t="inlineStr">
        <is>
          <t>8586017591998</t>
        </is>
      </c>
      <c r="G1206" s="4" t="inlineStr">
        <is>
          <t xml:space="preserve"> • napätie: 12 / 24 V 
 • zaťažiteľnosť: 8 A 
 • pozlátená prípojka: nie 
 • skrutkovateľné pripojenie: nie 
 • spájkovateľné pripojenie: áno 
 • ďalšie informácie: Ø5 x 20 mm poistka, za -a vypína</t>
        </is>
      </c>
    </row>
    <row r="1207">
      <c r="A1207" s="3" t="inlineStr">
        <is>
          <t>90779</t>
        </is>
      </c>
      <c r="B1207" s="2" t="inlineStr">
        <is>
          <t>Zásuvka na príves</t>
        </is>
      </c>
      <c r="C1207" s="1" t="n">
        <v>5.69</v>
      </c>
      <c r="D1207" s="7" t="n">
        <f>HYPERLINK("https://www.somogyi.sk/product/zasuvka-na-prives-90779-13820","https://www.somogyi.sk/product/zasuvka-na-prives-90779-13820")</f>
        <v>0.0</v>
      </c>
      <c r="E1207" s="7" t="n">
        <f>HYPERLINK("https://www.somogyi.sk/productimages/product_main_images/small/13820.jpg","https://www.somogyi.sk/productimages/product_main_images/small/13820.jpg")</f>
        <v>0.0</v>
      </c>
      <c r="F1207" s="2" t="inlineStr">
        <is>
          <t>8586017590779</t>
        </is>
      </c>
      <c r="G1207" s="4" t="inlineStr">
        <is>
          <t xml:space="preserve"> • napätie: 12 V 
 • pozlátená prípojka: nie 
 • skrutkovateľné pripojenie: nie 
 • spájkovateľné pripojenie: áno 
 • ďalšie informácie: 7 pólová, ochranný kryt s pružinou 
 • rozmery: Ø70 mm</t>
        </is>
      </c>
    </row>
    <row r="1208">
      <c r="A1208" s="3" t="inlineStr">
        <is>
          <t>97242</t>
        </is>
      </c>
      <c r="B1208" s="2" t="inlineStr">
        <is>
          <t>Štartovací kábel, 600 A</t>
        </is>
      </c>
      <c r="C1208" s="1" t="n">
        <v>24.99</v>
      </c>
      <c r="D1208" s="7" t="n">
        <f>HYPERLINK("https://www.somogyi.sk/product/startovaci-kabel-600-a-97242-17705","https://www.somogyi.sk/product/startovaci-kabel-600-a-97242-17705")</f>
        <v>0.0</v>
      </c>
      <c r="E1208" s="7" t="n">
        <f>HYPERLINK("https://www.somogyi.sk/productimages/product_main_images/small/17705.jpg","https://www.somogyi.sk/productimages/product_main_images/small/17705.jpg")</f>
        <v>0.0</v>
      </c>
      <c r="F1208" s="2" t="inlineStr">
        <is>
          <t>8586017597242</t>
        </is>
      </c>
      <c r="G1208" s="4" t="inlineStr">
        <is>
          <t xml:space="preserve"> • napätie: 12 / 24 V 
 • zaťažiteľnosť: max. 600 A 
 • prierez kábla: 6 mm² 
 • dĺžka kábla: 4 m 
 • ďalšie informácie: 99% kvalitná meď / praktická taška</t>
        </is>
      </c>
    </row>
    <row r="1209">
      <c r="A1209" s="3" t="inlineStr">
        <is>
          <t>SS 1116/P</t>
        </is>
      </c>
      <c r="B1209" s="2" t="inlineStr">
        <is>
          <t xml:space="preserve">Akumulátorová pripojovacia svorka do auta, pozitívna, pozlátená </t>
        </is>
      </c>
      <c r="C1209" s="1" t="n">
        <v>7.19</v>
      </c>
      <c r="D1209" s="7" t="n">
        <f>HYPERLINK("https://www.somogyi.sk/product/akumulatorova-pripojovacia-svorka-do-auta-pozitivna-pozlatena-ss-1116-p-4624","https://www.somogyi.sk/product/akumulatorova-pripojovacia-svorka-do-auta-pozitivna-pozlatena-ss-1116-p-4624")</f>
        <v>0.0</v>
      </c>
      <c r="E1209" s="7" t="n">
        <f>HYPERLINK("https://www.somogyi.sk/productimages/product_main_images/small/04624.jpg","https://www.somogyi.sk/productimages/product_main_images/small/04624.jpg")</f>
        <v>0.0</v>
      </c>
      <c r="F1209" s="2" t="inlineStr">
        <is>
          <t>5998312740804</t>
        </is>
      </c>
      <c r="G1209" s="4" t="inlineStr">
        <is>
          <t xml:space="preserve"> • pozlátená prípojka: nie 
 • skrutkovateľné pripojenie: 2 x 10² + M8 skrutka s Ø16 mm podložkou 
 • spájkovateľné pripojenie: nie 
 • ďalšie informácie: titánium, s pozlátenými skrutkami</t>
        </is>
      </c>
    </row>
    <row r="1210">
      <c r="A1210" s="3" t="inlineStr">
        <is>
          <t>SA 022</t>
        </is>
      </c>
      <c r="B1210" s="2" t="inlineStr">
        <is>
          <t>Rozdeľovacia zásuvka autozapaľovača, dvojitá</t>
        </is>
      </c>
      <c r="C1210" s="1" t="n">
        <v>5.29</v>
      </c>
      <c r="D1210" s="7" t="n">
        <f>HYPERLINK("https://www.somogyi.sk/product/rozdelovacia-zasuvka-autozapalovaca-dvojita-sa-022-8544","https://www.somogyi.sk/product/rozdelovacia-zasuvka-autozapalovaca-dvojita-sa-022-8544")</f>
        <v>0.0</v>
      </c>
      <c r="E1210" s="7" t="n">
        <f>HYPERLINK("https://www.somogyi.sk/productimages/product_main_images/small/08544.jpg","https://www.somogyi.sk/productimages/product_main_images/small/08544.jpg")</f>
        <v>0.0</v>
      </c>
      <c r="F1210" s="2" t="inlineStr">
        <is>
          <t>5998312774397</t>
        </is>
      </c>
      <c r="G1210" s="4" t="inlineStr">
        <is>
          <t xml:space="preserve"> • napätie: 12 V DC 
 • zaťažiteľnosť: max. 5 A 
 • výstup: 2 x zásuvka autozapaľovača 
 • pozlátená prípojka: nie 
 • skrutkovateľné pripojenie: nie 
 • spájkovateľné pripojenie: nie</t>
        </is>
      </c>
    </row>
    <row r="1211">
      <c r="A1211" s="6" t="inlineStr">
        <is>
          <t xml:space="preserve">   Príslušenstvo do auta / Anténa, predlžovací kábel k autoanténe</t>
        </is>
      </c>
      <c r="B1211" s="6" t="inlineStr">
        <is>
          <t/>
        </is>
      </c>
      <c r="C1211" s="6" t="inlineStr">
        <is>
          <t/>
        </is>
      </c>
      <c r="D1211" s="6" t="inlineStr">
        <is>
          <t/>
        </is>
      </c>
      <c r="E1211" s="6" t="inlineStr">
        <is>
          <t/>
        </is>
      </c>
      <c r="F1211" s="6" t="inlineStr">
        <is>
          <t/>
        </is>
      </c>
      <c r="G1211" s="6" t="inlineStr">
        <is>
          <t/>
        </is>
      </c>
    </row>
    <row r="1212">
      <c r="A1212" s="3" t="inlineStr">
        <is>
          <t>91110</t>
        </is>
      </c>
      <c r="B1212" s="2" t="inlineStr">
        <is>
          <t xml:space="preserve">Autoanténa so zosilňovačom, možnosť nalepenia na čelné sklo </t>
        </is>
      </c>
      <c r="C1212" s="1" t="n">
        <v>6.59</v>
      </c>
      <c r="D1212" s="7" t="n">
        <f>HYPERLINK("https://www.somogyi.sk/product/autoantena-so-zosilnovacom-moznost-nalepenia-na-celne-sklo-91110-13824","https://www.somogyi.sk/product/autoantena-so-zosilnovacom-moznost-nalepenia-na-celne-sklo-91110-13824")</f>
        <v>0.0</v>
      </c>
      <c r="E1212" s="7" t="n">
        <f>HYPERLINK("https://www.somogyi.sk/productimages/product_main_images/small/13824.jpg","https://www.somogyi.sk/productimages/product_main_images/small/13824.jpg")</f>
        <v>0.0</v>
      </c>
      <c r="F1212" s="2" t="inlineStr">
        <is>
          <t>8586017591110</t>
        </is>
      </c>
      <c r="G1212" s="4" t="inlineStr">
        <is>
          <t xml:space="preserve"> • umiestnenie vo vozidle: na predné sklo 
 • upevnenie: samolepiaca 
 • nakloniteľná: nie 
 • možnosť uzatvoriť kľúčom: nie 
 • dĺžka antény: 340 x 9 mm 
 • dĺžka kábla: 1,9 m 
 • vidlica: DIN 
 • zabudovaný zosilňovač: áno</t>
        </is>
      </c>
    </row>
    <row r="1213">
      <c r="A1213" s="3" t="inlineStr">
        <is>
          <t>90557</t>
        </is>
      </c>
      <c r="B1213" s="2" t="inlineStr">
        <is>
          <t>Autoanténa na strechu, 44 cm, nakloniteľná</t>
        </is>
      </c>
      <c r="C1213" s="1" t="n">
        <v>8.69</v>
      </c>
      <c r="D1213" s="7" t="n">
        <f>HYPERLINK("https://www.somogyi.sk/product/autoantena-na-strechu-44-cm-naklonitelna-90557-13823","https://www.somogyi.sk/product/autoantena-na-strechu-44-cm-naklonitelna-90557-13823")</f>
        <v>0.0</v>
      </c>
      <c r="E1213" s="7" t="n">
        <f>HYPERLINK("https://www.somogyi.sk/productimages/product_main_images/small/13823.jpg","https://www.somogyi.sk/productimages/product_main_images/small/13823.jpg")</f>
        <v>0.0</v>
      </c>
      <c r="F1213" s="2" t="inlineStr">
        <is>
          <t>8586017590557</t>
        </is>
      </c>
      <c r="G1213" s="4" t="inlineStr">
        <is>
          <t xml:space="preserve"> • umiestnenie vo vozidle: strešná 
 • upevnenie: Ø5 mm skrutkou 
 • nakloniteľná: 0 - 45° 
 • možnosť uzatvoriť kľúčom: nie 
 • dĺžka antény: 440 mm 
 • dĺžka kábla: 2 m 
 • vidlica: DIN 
 • zabudovaný zosilňovač: nie</t>
        </is>
      </c>
    </row>
    <row r="1214">
      <c r="A1214" s="3" t="inlineStr">
        <is>
          <t>93220</t>
        </is>
      </c>
      <c r="B1214" s="2" t="inlineStr">
        <is>
          <t>Autoanténa so zosilňovačom, na strechu,  40cm, fixná</t>
        </is>
      </c>
      <c r="C1214" s="1" t="n">
        <v>8.69</v>
      </c>
      <c r="D1214" s="7" t="n">
        <f>HYPERLINK("https://www.somogyi.sk/product/autoantena-so-zosilnovacom-na-strechu-40cm-fixna-93220-13832","https://www.somogyi.sk/product/autoantena-so-zosilnovacom-na-strechu-40cm-fixna-93220-13832")</f>
        <v>0.0</v>
      </c>
      <c r="E1214" s="7" t="n">
        <f>HYPERLINK("https://www.somogyi.sk/productimages/product_main_images/small/13832.jpg","https://www.somogyi.sk/productimages/product_main_images/small/13832.jpg")</f>
        <v>0.0</v>
      </c>
      <c r="F1214" s="2" t="inlineStr">
        <is>
          <t>8586017593220</t>
        </is>
      </c>
      <c r="G1214" s="4" t="inlineStr">
        <is>
          <t xml:space="preserve"> • umiestnenie vo vozidle: strešná 
 • upevnenie: Ø5 mm skrutkou 
 • nakloniteľná: 52° fixný nastaviteľný uhol 
 • možnosť uzatvoriť kľúčom: nie 
 • dĺžka antény: 400 mm 
 • dĺžka kábla: 3 m 
 • vidlica: DIN 
 • zabudovaný zosilňovač: áno</t>
        </is>
      </c>
    </row>
    <row r="1215">
      <c r="A1215" s="3" t="inlineStr">
        <is>
          <t>SA-ANTCS 004</t>
        </is>
      </c>
      <c r="B1215" s="2" t="inlineStr">
        <is>
          <t>Autoanténny predlžovací kábel, DIN zás.-DIN vidlica, 1m</t>
        </is>
      </c>
      <c r="C1215" s="1" t="n">
        <v>4.59</v>
      </c>
      <c r="D1215" s="7" t="n">
        <f>HYPERLINK("https://www.somogyi.sk/product/autoantenny-predlzovaci-kabel-din-zas-din-vidlica-1m-sa-antcs-004-7038","https://www.somogyi.sk/product/autoantenny-predlzovaci-kabel-din-zas-din-vidlica-1m-sa-antcs-004-7038")</f>
        <v>0.0</v>
      </c>
      <c r="E1215" s="7" t="n">
        <f>HYPERLINK("https://www.somogyi.sk/productimages/product_main_images/small/07038.jpg","https://www.somogyi.sk/productimages/product_main_images/small/07038.jpg")</f>
        <v>0.0</v>
      </c>
      <c r="F1215" s="2" t="inlineStr">
        <is>
          <t>5998312760451</t>
        </is>
      </c>
      <c r="G1215" s="4" t="inlineStr">
        <is>
          <t xml:space="preserve"> • nakloniteľná: nie 
 • možnosť uzatvoriť kľúčom: nie 
 • dĺžka antény: 1 m 
 • vidlica: DIN zásuvka - DIN vidlica 
 • zabudovaný zosilňovač: nie</t>
        </is>
      </c>
    </row>
    <row r="1216">
      <c r="A1216" s="3" t="inlineStr">
        <is>
          <t>90595</t>
        </is>
      </c>
      <c r="B1216" s="2" t="inlineStr">
        <is>
          <t>Autoanténa na strechu, 40 cm, fixná</t>
        </is>
      </c>
      <c r="C1216" s="1" t="n">
        <v>6.99</v>
      </c>
      <c r="D1216" s="7" t="n">
        <f>HYPERLINK("https://www.somogyi.sk/product/autoantena-na-strechu-40-cm-fixna-90595-13821","https://www.somogyi.sk/product/autoantena-na-strechu-40-cm-fixna-90595-13821")</f>
        <v>0.0</v>
      </c>
      <c r="E1216" s="7" t="n">
        <f>HYPERLINK("https://www.somogyi.sk/productimages/product_main_images/small/13821.jpg","https://www.somogyi.sk/productimages/product_main_images/small/13821.jpg")</f>
        <v>0.0</v>
      </c>
      <c r="F1216" s="2" t="inlineStr">
        <is>
          <t>8586017590595</t>
        </is>
      </c>
      <c r="G1216" s="4" t="inlineStr">
        <is>
          <t xml:space="preserve"> • umiestnenie vo vozidle: strešná 
 • upevnenie: Ø5 mm skrutkou 
 • nakloniteľná: 52° fixný nastaviteľný uhol 
 • možnosť uzatvoriť kľúčom: nie 
 • dĺžka antény: 400 mm 
 • dĺžka kábla: 3 m 
 • vidlica: DIN 
 • zabudovaný zosilňovač: nie</t>
        </is>
      </c>
    </row>
    <row r="1217">
      <c r="A1217" s="6" t="inlineStr">
        <is>
          <t xml:space="preserve">   Príslušenstvo do auta / Anténová prípojka, reproduktorová prípojka, napájacia prípojka</t>
        </is>
      </c>
      <c r="B1217" s="6" t="inlineStr">
        <is>
          <t/>
        </is>
      </c>
      <c r="C1217" s="6" t="inlineStr">
        <is>
          <t/>
        </is>
      </c>
      <c r="D1217" s="6" t="inlineStr">
        <is>
          <t/>
        </is>
      </c>
      <c r="E1217" s="6" t="inlineStr">
        <is>
          <t/>
        </is>
      </c>
      <c r="F1217" s="6" t="inlineStr">
        <is>
          <t/>
        </is>
      </c>
      <c r="G1217" s="6" t="inlineStr">
        <is>
          <t/>
        </is>
      </c>
    </row>
    <row r="1218">
      <c r="A1218" s="3" t="inlineStr">
        <is>
          <t>SA-ANTCS 002</t>
        </is>
      </c>
      <c r="B1218" s="2" t="inlineStr">
        <is>
          <t xml:space="preserve">Autoanténna redukcia, DIN zás.-ISO vidlica </t>
        </is>
      </c>
      <c r="C1218" s="1" t="n">
        <v>1.79</v>
      </c>
      <c r="D1218" s="7" t="n">
        <f>HYPERLINK("https://www.somogyi.sk/product/autoantenna-redukcia-din-zas-iso-vidlica-sa-antcs-002-7036","https://www.somogyi.sk/product/autoantenna-redukcia-din-zas-iso-vidlica-sa-antcs-002-7036")</f>
        <v>0.0</v>
      </c>
      <c r="E1218" s="7" t="n">
        <f>HYPERLINK("https://www.somogyi.sk/productimages/product_main_images/small/07036.jpg","https://www.somogyi.sk/productimages/product_main_images/small/07036.jpg")</f>
        <v>0.0</v>
      </c>
      <c r="F1218" s="2" t="inlineStr">
        <is>
          <t>5998312760437</t>
        </is>
      </c>
      <c r="G1218" s="4" t="inlineStr">
        <is>
          <t xml:space="preserve"> • funkcia: redukcia DIN - ISO</t>
        </is>
      </c>
    </row>
    <row r="1219">
      <c r="A1219" s="3" t="inlineStr">
        <is>
          <t>SA-ANTCS 008</t>
        </is>
      </c>
      <c r="B1219" s="2" t="inlineStr">
        <is>
          <t xml:space="preserve">Autoanténna redukcia, DIN, fantóm napájanie </t>
        </is>
      </c>
      <c r="C1219" s="1" t="n">
        <v>7.29</v>
      </c>
      <c r="D1219" s="7" t="n">
        <f>HYPERLINK("https://www.somogyi.sk/product/autoantenna-redukcia-din-fantom-napajanie-sa-antcs-008-7374","https://www.somogyi.sk/product/autoantenna-redukcia-din-fantom-napajanie-sa-antcs-008-7374")</f>
        <v>0.0</v>
      </c>
      <c r="E1219" s="7" t="n">
        <f>HYPERLINK("https://www.somogyi.sk/productimages/product_main_images/small/07374.jpg","https://www.somogyi.sk/productimages/product_main_images/small/07374.jpg")</f>
        <v>0.0</v>
      </c>
      <c r="F1219" s="2" t="inlineStr">
        <is>
          <t>5998312763636</t>
        </is>
      </c>
      <c r="G1219" s="4" t="inlineStr">
        <is>
          <t xml:space="preserve"> • funkcia: s fantómovým napájaním + redukcia (ISO - DIN)</t>
        </is>
      </c>
    </row>
    <row r="1220">
      <c r="A1220" s="3" t="inlineStr">
        <is>
          <t>ISO 2</t>
        </is>
      </c>
      <c r="B1220" s="2" t="inlineStr">
        <is>
          <t>ISO prípojka pre autorádio,</t>
        </is>
      </c>
      <c r="C1220" s="1" t="n">
        <v>3.99</v>
      </c>
      <c r="D1220" s="7" t="n">
        <f>HYPERLINK("https://www.somogyi.sk/product/iso-pripojka-pre-autoradio-iso-2-4316","https://www.somogyi.sk/product/iso-pripojka-pre-autoradio-iso-2-4316")</f>
        <v>0.0</v>
      </c>
      <c r="E1220" s="7" t="n">
        <f>HYPERLINK("https://www.somogyi.sk/productimages/product_main_images/small/04316.jpg","https://www.somogyi.sk/productimages/product_main_images/small/04316.jpg")</f>
        <v>0.0</v>
      </c>
      <c r="F1220" s="2" t="inlineStr">
        <is>
          <t>5998312737798</t>
        </is>
      </c>
      <c r="G1220" s="4" t="inlineStr">
        <is>
          <t xml:space="preserve"> • funkcia: pár ISO pripojovacích zásuviek, voľné 
 • zapojenie: spájkovateľná 
 • rozmery: 15 cm</t>
        </is>
      </c>
    </row>
    <row r="1221">
      <c r="A1221" s="3" t="inlineStr">
        <is>
          <t>SA-FISO 022</t>
        </is>
      </c>
      <c r="B1221" s="2" t="inlineStr">
        <is>
          <t xml:space="preserve">ISO predlž. pripojovací kábel, pár vidlica/zásuvka </t>
        </is>
      </c>
      <c r="C1221" s="1" t="n">
        <v>6.39</v>
      </c>
      <c r="D1221" s="7" t="n">
        <f>HYPERLINK("https://www.somogyi.sk/product/iso-predlz-pripojovaci-kabel-par-vidlica-zasuvka-sa-fiso-022-7013","https://www.somogyi.sk/product/iso-predlz-pripojovaci-kabel-par-vidlica-zasuvka-sa-fiso-022-7013")</f>
        <v>0.0</v>
      </c>
      <c r="E1221" s="7" t="n">
        <f>HYPERLINK("https://www.somogyi.sk/productimages/product_main_images/small/07013.jpg","https://www.somogyi.sk/productimages/product_main_images/small/07013.jpg")</f>
        <v>0.0</v>
      </c>
      <c r="F1221" s="2" t="inlineStr">
        <is>
          <t>5998312760260</t>
        </is>
      </c>
      <c r="G1221" s="4" t="inlineStr">
        <is>
          <t xml:space="preserve"> • funkcia: ISO pripojovací kábel k autorádiu</t>
        </is>
      </c>
    </row>
    <row r="1222">
      <c r="A1222" s="3" t="inlineStr">
        <is>
          <t>SA-ANTCS 001</t>
        </is>
      </c>
      <c r="B1222" s="2" t="inlineStr">
        <is>
          <t xml:space="preserve">Autoanténna redukcia, ISO zás.-DIN vidlica </t>
        </is>
      </c>
      <c r="C1222" s="1" t="n">
        <v>1.45</v>
      </c>
      <c r="D1222" s="7" t="n">
        <f>HYPERLINK("https://www.somogyi.sk/product/autoantenna-redukcia-iso-zas-din-vidlica-sa-antcs-001-7035","https://www.somogyi.sk/product/autoantenna-redukcia-iso-zas-din-vidlica-sa-antcs-001-7035")</f>
        <v>0.0</v>
      </c>
      <c r="E1222" s="7" t="n">
        <f>HYPERLINK("https://www.somogyi.sk/productimages/product_main_images/small/07035.jpg","https://www.somogyi.sk/productimages/product_main_images/small/07035.jpg")</f>
        <v>0.0</v>
      </c>
      <c r="F1222" s="2" t="inlineStr">
        <is>
          <t>5998312760420</t>
        </is>
      </c>
      <c r="G1222" s="4" t="inlineStr">
        <is>
          <t xml:space="preserve"> • funkcia: redukcia ISO - DIN</t>
        </is>
      </c>
    </row>
    <row r="1223">
      <c r="A1223" s="6" t="inlineStr">
        <is>
          <t xml:space="preserve">   Príslušenstvo do auta / Príslušenstvo do auta, náhradná žiarovka</t>
        </is>
      </c>
      <c r="B1223" s="6" t="inlineStr">
        <is>
          <t/>
        </is>
      </c>
      <c r="C1223" s="6" t="inlineStr">
        <is>
          <t/>
        </is>
      </c>
      <c r="D1223" s="6" t="inlineStr">
        <is>
          <t/>
        </is>
      </c>
      <c r="E1223" s="6" t="inlineStr">
        <is>
          <t/>
        </is>
      </c>
      <c r="F1223" s="6" t="inlineStr">
        <is>
          <t/>
        </is>
      </c>
      <c r="G1223" s="6" t="inlineStr">
        <is>
          <t/>
        </is>
      </c>
    </row>
    <row r="1224">
      <c r="A1224" s="3" t="inlineStr">
        <is>
          <t>90717</t>
        </is>
      </c>
      <c r="B1224" s="2" t="inlineStr">
        <is>
          <t>Nožná pumpa s 3 ventilmi</t>
        </is>
      </c>
      <c r="C1224" s="1" t="n">
        <v>12.49</v>
      </c>
      <c r="D1224" s="7" t="n">
        <f>HYPERLINK("https://www.somogyi.sk/product/nozna-pumpa-s-3-ventilmi-90717-13846","https://www.somogyi.sk/product/nozna-pumpa-s-3-ventilmi-90717-13846")</f>
        <v>0.0</v>
      </c>
      <c r="E1224" s="7" t="n">
        <f>HYPERLINK("https://www.somogyi.sk/productimages/product_main_images/small/13846.jpg","https://www.somogyi.sk/productimages/product_main_images/small/13846.jpg")</f>
        <v>0.0</v>
      </c>
      <c r="F1224" s="2" t="inlineStr">
        <is>
          <t>8586017590717</t>
        </is>
      </c>
      <c r="G1224" s="4" t="inlineStr">
        <is>
          <t xml:space="preserve"> • Zdôraznená charakteristika: merač tlaku do 7 bar 
 • príslušenstvo: 1 + 2 ventilový adaptér</t>
        </is>
      </c>
    </row>
    <row r="1225">
      <c r="A1225" s="3" t="inlineStr">
        <is>
          <t>90304</t>
        </is>
      </c>
      <c r="B1225" s="2" t="inlineStr">
        <is>
          <t>Autokompresor, 12V</t>
        </is>
      </c>
      <c r="C1225" s="1" t="n">
        <v>25.99</v>
      </c>
      <c r="D1225" s="7" t="n">
        <f>HYPERLINK("https://www.somogyi.sk/product/autokompresor-12v-90304-14262","https://www.somogyi.sk/product/autokompresor-12v-90304-14262")</f>
        <v>0.0</v>
      </c>
      <c r="E1225" s="7" t="n">
        <f>HYPERLINK("https://www.somogyi.sk/productimages/product_main_images/small/14262.jpg","https://www.somogyi.sk/productimages/product_main_images/small/14262.jpg")</f>
        <v>0.0</v>
      </c>
      <c r="F1225" s="2" t="inlineStr">
        <is>
          <t>8586017590304</t>
        </is>
      </c>
      <c r="G1225" s="4" t="inlineStr">
        <is>
          <t xml:space="preserve"> • Zdôraznená charakteristika: tlak: max. 18 bar, 250 PSI; spotreba prúdu motora: 10 A; dĺžka kábla: 2,5 m 
 • príslušenstvo: 3 fúkacie nástavce 
 • napájanie: 12 V DC</t>
        </is>
      </c>
    </row>
    <row r="1226">
      <c r="A1226" s="3" t="inlineStr">
        <is>
          <t>VST 01</t>
        </is>
      </c>
      <c r="B1226" s="2" t="inlineStr">
        <is>
          <t>Podnos na volant</t>
        </is>
      </c>
      <c r="C1226" s="1" t="n">
        <v>8.29</v>
      </c>
      <c r="D1226" s="7" t="n">
        <f>HYPERLINK("https://www.somogyi.sk/product/podnos-na-volant-vst-01-16404","https://www.somogyi.sk/product/podnos-na-volant-vst-01-16404")</f>
        <v>0.0</v>
      </c>
      <c r="E1226" s="7" t="n">
        <f>HYPERLINK("https://www.somogyi.sk/productimages/product_main_images/small/16404.jpg","https://www.somogyi.sk/productimages/product_main_images/small/16404.jpg")</f>
        <v>0.0</v>
      </c>
      <c r="F1226" s="2" t="inlineStr">
        <is>
          <t>5999084944360</t>
        </is>
      </c>
      <c r="G1226" s="4" t="inlineStr">
        <is>
          <t xml:space="preserve"> • zaťažiteľnosť: max. 5 kg 
 • rozmery: 420 x 280 x 22 mm / rozmery držiaka pohára: Ø75 mm</t>
        </is>
      </c>
    </row>
    <row r="1227">
      <c r="A1227" s="3" t="inlineStr">
        <is>
          <t>90205</t>
        </is>
      </c>
      <c r="B1227" s="2" t="inlineStr">
        <is>
          <t>Vyhrievaný poťah na sedadlo</t>
        </is>
      </c>
      <c r="C1227" s="1" t="n">
        <v>24.99</v>
      </c>
      <c r="D1227" s="7" t="n">
        <f>HYPERLINK("https://www.somogyi.sk/product/vyhrievany-potah-na-sedadlo-90205-13772","https://www.somogyi.sk/product/vyhrievany-potah-na-sedadlo-90205-13772")</f>
        <v>0.0</v>
      </c>
      <c r="E1227" s="7" t="n">
        <f>HYPERLINK("https://www.somogyi.sk/productimages/product_main_images/small/13772.jpg","https://www.somogyi.sk/productimages/product_main_images/small/13772.jpg")</f>
        <v>0.0</v>
      </c>
      <c r="F1227" s="2" t="inlineStr">
        <is>
          <t>8586017590205</t>
        </is>
      </c>
      <c r="G1227" s="4" t="inlineStr">
        <is>
          <t xml:space="preserve"> • Zdôraznená charakteristika: 2 stupne ohrievania, rýchle uchytenie pomocou pružných ramienok a priložených háčikov 
 • príslušenstvo: háčiky 
 • napájanie: 12 V DC 
 • rozmery: 440 x 400/440 x 440 mm</t>
        </is>
      </c>
    </row>
    <row r="1228">
      <c r="A1228" s="3" t="inlineStr">
        <is>
          <t>91769</t>
        </is>
      </c>
      <c r="B1228" s="2" t="inlineStr">
        <is>
          <t>Merač tlaku v pneumatikách</t>
        </is>
      </c>
      <c r="C1228" s="1" t="n">
        <v>7.79</v>
      </c>
      <c r="D1228" s="7" t="n">
        <f>HYPERLINK("https://www.somogyi.sk/product/merac-tlaku-v-pneumatikach-91769-13777","https://www.somogyi.sk/product/merac-tlaku-v-pneumatikach-91769-13777")</f>
        <v>0.0</v>
      </c>
      <c r="E1228" s="7" t="n">
        <f>HYPERLINK("https://www.somogyi.sk/productimages/product_main_images/small/13777.jpg","https://www.somogyi.sk/productimages/product_main_images/small/13777.jpg")</f>
        <v>0.0</v>
      </c>
      <c r="F1228" s="2" t="inlineStr">
        <is>
          <t>8586017591769</t>
        </is>
      </c>
      <c r="G1228" s="4" t="inlineStr">
        <is>
          <t xml:space="preserve"> • Zdôraznená charakteristika: kovové prevedenie, rozsah merania: 0,5 - 7,5 bar</t>
        </is>
      </c>
    </row>
    <row r="1229">
      <c r="A1229" s="6" t="inlineStr">
        <is>
          <t xml:space="preserve">   Príslušenstvo do auta / Starostlivosť o auto</t>
        </is>
      </c>
      <c r="B1229" s="6" t="inlineStr">
        <is>
          <t/>
        </is>
      </c>
      <c r="C1229" s="6" t="inlineStr">
        <is>
          <t/>
        </is>
      </c>
      <c r="D1229" s="6" t="inlineStr">
        <is>
          <t/>
        </is>
      </c>
      <c r="E1229" s="6" t="inlineStr">
        <is>
          <t/>
        </is>
      </c>
      <c r="F1229" s="6" t="inlineStr">
        <is>
          <t/>
        </is>
      </c>
      <c r="G1229" s="6" t="inlineStr">
        <is>
          <t/>
        </is>
      </c>
    </row>
    <row r="1230">
      <c r="A1230" s="3" t="inlineStr">
        <is>
          <t>090508</t>
        </is>
      </c>
      <c r="B1230" s="2" t="inlineStr">
        <is>
          <t>Pena na čistenie klimatizácie, 500 ml</t>
        </is>
      </c>
      <c r="C1230" s="1" t="n">
        <v>11.99</v>
      </c>
      <c r="D1230" s="7" t="n">
        <f>HYPERLINK("https://www.somogyi.sk/product/pena-na-cistenie-klimatizacie-500-ml-090508-14171","https://www.somogyi.sk/product/pena-na-cistenie-klimatizacie-500-ml-090508-14171")</f>
        <v>0.0</v>
      </c>
      <c r="E1230" s="7" t="n">
        <f>HYPERLINK("https://www.somogyi.sk/productimages/product_main_images/small/14171.jpg","https://www.somogyi.sk/productimages/product_main_images/small/14171.jpg")</f>
        <v>0.0</v>
      </c>
      <c r="F1230" s="2" t="inlineStr">
        <is>
          <t>8711347225842</t>
        </is>
      </c>
      <c r="G1230" s="4" t="inlineStr">
        <is>
          <t xml:space="preserve"> • funkcia/prevedenie: Spray na čistenie klimatizácie 
 • Zdôraznená charakteristika: Zabezpečí sviežu, príjemnú vôňu, antibakteriálny 
 • balenie: 500 ml 
 • oblasť použitia: domáce klimatizácie, autoklimatizácie</t>
        </is>
      </c>
    </row>
    <row r="1231">
      <c r="A1231" s="3" t="inlineStr">
        <is>
          <t>W 340</t>
        </is>
      </c>
      <c r="B1231" s="2" t="inlineStr">
        <is>
          <t>Silikónový sprej, 300 ml</t>
        </is>
      </c>
      <c r="C1231" s="1" t="n">
        <v>5.19</v>
      </c>
      <c r="D1231" s="7" t="n">
        <f>HYPERLINK("https://www.somogyi.sk/product/silikonovy-sprej-300-ml-w-340-3175","https://www.somogyi.sk/product/silikonovy-sprej-300-ml-w-340-3175")</f>
        <v>0.0</v>
      </c>
      <c r="E1231" s="7" t="n">
        <f>HYPERLINK("https://www.somogyi.sk/productimages/product_main_images/small/03175.jpg","https://www.somogyi.sk/productimages/product_main_images/small/03175.jpg")</f>
        <v>0.0</v>
      </c>
      <c r="F1231" s="2" t="inlineStr">
        <is>
          <t>5997539300549</t>
        </is>
      </c>
      <c r="G1231" s="4" t="inlineStr">
        <is>
          <t xml:space="preserve"> • funkcia/prevedenie: Silikón 
 • Zdôraznená charakteristika: Vhodný na ošetrenie pohyblivých kovových častí elektromotorov. Chráni ich proti vlhkosti 
 • balenie: 300 ml 
 • oblasť použitia: priemysel, autopriemysel</t>
        </is>
      </c>
    </row>
    <row r="1232">
      <c r="A1232" s="6" t="inlineStr">
        <is>
          <t xml:space="preserve">   Zdravie, krása / Fitnes hodinky</t>
        </is>
      </c>
      <c r="B1232" s="6" t="inlineStr">
        <is>
          <t/>
        </is>
      </c>
      <c r="C1232" s="6" t="inlineStr">
        <is>
          <t/>
        </is>
      </c>
      <c r="D1232" s="6" t="inlineStr">
        <is>
          <t/>
        </is>
      </c>
      <c r="E1232" s="6" t="inlineStr">
        <is>
          <t/>
        </is>
      </c>
      <c r="F1232" s="6" t="inlineStr">
        <is>
          <t/>
        </is>
      </c>
      <c r="G1232" s="6" t="inlineStr">
        <is>
          <t/>
        </is>
      </c>
    </row>
    <row r="1233">
      <c r="A1233" s="3" t="inlineStr">
        <is>
          <t>CNS-SW63BB</t>
        </is>
      </c>
      <c r="B1233" s="2" t="inlineStr">
        <is>
          <t>CANYON smart hodinky, čierna farba</t>
        </is>
      </c>
      <c r="C1233" s="1" t="n">
        <v>46.99</v>
      </c>
      <c r="D1233" s="7" t="n">
        <f>HYPERLINK("https://www.somogyi.sk/product/canyon-smart-hodinky-cierna-farba-cns-sw63bb-18371","https://www.somogyi.sk/product/canyon-smart-hodinky-cierna-farba-cns-sw63bb-18371")</f>
        <v>0.0</v>
      </c>
      <c r="E1233" s="7" t="n">
        <f>HYPERLINK("https://www.somogyi.sk/productimages/product_main_images/small/18371.jpg","https://www.somogyi.sk/productimages/product_main_images/small/18371.jpg")</f>
        <v>0.0</v>
      </c>
      <c r="F1233" s="2" t="inlineStr">
        <is>
          <t>5291485008512</t>
        </is>
      </c>
      <c r="G1233" s="4" t="inlineStr">
        <is>
          <t xml:space="preserve"> • farba: čierna farba 
 • displej: 1,3" IPS • rozlíšenie obrazovky: 240 x 240 
 • bezdrôtové BT spojenie: áno (v.5.0) 
 •  
 •  
 • zabudovaný akumulátor: 155 mAh Li-Po, nedá sa vymeniť 
 • rozmery: 25,2 x 42,5 x 10,7 mm 
 • N/A: chipset: Pixart PAR2860QN 
 • pamäť: 32 KB RAM, 512 KB ROM 
 • ďalšie informácie: integrácia: Google Fit, Apple Health</t>
        </is>
      </c>
    </row>
    <row r="1234">
      <c r="A1234" s="3" t="inlineStr">
        <is>
          <t>CNS-SW63SW</t>
        </is>
      </c>
      <c r="B1234" s="2" t="inlineStr">
        <is>
          <t>CANYON smart hodinky, biela farba</t>
        </is>
      </c>
      <c r="C1234" s="1" t="n">
        <v>46.99</v>
      </c>
      <c r="D1234" s="7" t="n">
        <f>HYPERLINK("https://www.somogyi.sk/product/canyon-smart-hodinky-biela-farba-cns-sw63sw-18372","https://www.somogyi.sk/product/canyon-smart-hodinky-biela-farba-cns-sw63sw-18372")</f>
        <v>0.0</v>
      </c>
      <c r="E1234" s="7" t="n">
        <f>HYPERLINK("https://www.somogyi.sk/productimages/product_main_images/small/18372.jpg","https://www.somogyi.sk/productimages/product_main_images/small/18372.jpg")</f>
        <v>0.0</v>
      </c>
      <c r="F1234" s="2" t="inlineStr">
        <is>
          <t>5291485008529</t>
        </is>
      </c>
      <c r="G1234" s="4" t="inlineStr">
        <is>
          <t xml:space="preserve"> • farba: biela farba 
 • displej: 1,3" IPS • rozlíšenie obrazovky: 240 x 240 
 • bezdrôtové BT spojenie: áno (v.5.0) 
 •  
 •  
 • zabudovaný akumulátor: 155 mAh Li-Po, nedá sa vymeniť 
 • rozmery: 25,2 x 42,5 x 10,7 mm 
 • N/A: chipset: Pixart PAR2860QN 
 • pamäť: 32 KB RAM, 512 KB ROM 
 • ďalšie informácie: integrácia: Google Fit, Apple Health</t>
        </is>
      </c>
    </row>
    <row r="1235">
      <c r="A1235" s="3" t="inlineStr">
        <is>
          <t>SMW FIT</t>
        </is>
      </c>
      <c r="B1235" s="2" t="inlineStr">
        <is>
          <t>Fitness smart hodinky</t>
        </is>
      </c>
      <c r="C1235" s="1" t="n">
        <v>32.99</v>
      </c>
      <c r="D1235" s="7" t="n">
        <f>HYPERLINK("https://www.somogyi.sk/product/fitness-smart-hodinky-smw-fit-17593","https://www.somogyi.sk/product/fitness-smart-hodinky-smw-fit-17593")</f>
        <v>0.0</v>
      </c>
      <c r="E1235" s="7" t="n">
        <f>HYPERLINK("https://www.somogyi.sk/productimages/product_main_images/small/17593.jpg","https://www.somogyi.sk/productimages/product_main_images/small/17593.jpg")</f>
        <v>0.0</v>
      </c>
      <c r="F1235" s="2" t="inlineStr">
        <is>
          <t>5999084956158</t>
        </is>
      </c>
      <c r="G1235" s="4" t="inlineStr">
        <is>
          <t xml:space="preserve"> • farba: čierna 
 • displej: 1,55” TFT 
 • bezdrôtové BT spojenie: v4.0 
 • zabudovaná kamera: nie 
 • zabudovaný mikrofón: nie 
 • zásuvka pre kartu: nie 
 • funkcie: 24 h meranie pulzu - meranie krvného tlaku - meranie kyslíka - krokomer - analýza spánku - 7 sport: spálené kalórie - počasie - správy - diaľkový ovládač fotoaparátu - ovládanie prehrávača hudby - budík - stopky - odpočítavanie - hry - nájdenie stratených hodiniek - upozornenie: pitný režim a pohyb, volanie - rôzne ciferníky 
 • jazyk menu: grafické menu v anglickom jazyku (jednoduché ovládanie) 
 • kompatibilita: iPhone iOS8.0 a Android 5.0 alebo novšie 
 • čas prevádzky s jedným nabitím: 5-7 deň použitia jedným použitím 
 • ochrana proti vode: IP66 vodeodolný 
 • zabudovaný akumulátor: 180 mAh, Li-Po (nedá sa vymeniť) 
 • rozmery: 37 x 42 x 10 mm / 38 g</t>
        </is>
      </c>
    </row>
    <row r="1236">
      <c r="A1236" s="6" t="inlineStr">
        <is>
          <t xml:space="preserve">   Zdravie, krása / Sonda na alkohol</t>
        </is>
      </c>
      <c r="B1236" s="6" t="inlineStr">
        <is>
          <t/>
        </is>
      </c>
      <c r="C1236" s="6" t="inlineStr">
        <is>
          <t/>
        </is>
      </c>
      <c r="D1236" s="6" t="inlineStr">
        <is>
          <t/>
        </is>
      </c>
      <c r="E1236" s="6" t="inlineStr">
        <is>
          <t/>
        </is>
      </c>
      <c r="F1236" s="6" t="inlineStr">
        <is>
          <t/>
        </is>
      </c>
      <c r="G1236" s="6" t="inlineStr">
        <is>
          <t/>
        </is>
      </c>
    </row>
    <row r="1237">
      <c r="A1237" s="3" t="inlineStr">
        <is>
          <t>94807</t>
        </is>
      </c>
      <c r="B1237" s="2" t="inlineStr">
        <is>
          <t>Digitálna sonda na alkohol</t>
        </is>
      </c>
      <c r="C1237" s="1" t="n">
        <v>18.99</v>
      </c>
      <c r="D1237" s="7" t="n">
        <f>HYPERLINK("https://www.somogyi.sk/product/digitalna-sonda-na-alkohol-94807-14888","https://www.somogyi.sk/product/digitalna-sonda-na-alkohol-94807-14888")</f>
        <v>0.0</v>
      </c>
      <c r="E1237" s="7" t="n">
        <f>HYPERLINK("https://www.somogyi.sk/productimages/product_main_images/small/14888.jpg","https://www.somogyi.sk/productimages/product_main_images/small/14888.jpg")</f>
        <v>0.0</v>
      </c>
      <c r="F1237" s="2" t="inlineStr">
        <is>
          <t>8586017594807</t>
        </is>
      </c>
      <c r="G1237" s="4" t="inlineStr">
        <is>
          <t xml:space="preserve"> • interval merania: 0,00 - 0,19% BAC 
 • presnosť merania: 0,01% BAC 
 • zvuková signalizácia: áno 
 • ostatné funkcie: rýchla reakcia, čas zahriatia: 10 mp, odpoveď &lt;5 mp 
 • napájanie: 2 x AAA batéria (nie je príslušenstvom)</t>
        </is>
      </c>
    </row>
    <row r="1238">
      <c r="A1238" s="6" t="inlineStr">
        <is>
          <t xml:space="preserve">   Zdravie, krása / Ph-tester</t>
        </is>
      </c>
      <c r="B1238" s="6" t="inlineStr">
        <is>
          <t/>
        </is>
      </c>
      <c r="C1238" s="6" t="inlineStr">
        <is>
          <t/>
        </is>
      </c>
      <c r="D1238" s="6" t="inlineStr">
        <is>
          <t/>
        </is>
      </c>
      <c r="E1238" s="6" t="inlineStr">
        <is>
          <t/>
        </is>
      </c>
      <c r="F1238" s="6" t="inlineStr">
        <is>
          <t/>
        </is>
      </c>
      <c r="G1238" s="6" t="inlineStr">
        <is>
          <t/>
        </is>
      </c>
    </row>
    <row r="1239">
      <c r="A1239" s="3" t="inlineStr">
        <is>
          <t>PHT 01</t>
        </is>
      </c>
      <c r="B1239" s="2" t="inlineStr">
        <is>
          <t>pH tester a teplomer</t>
        </is>
      </c>
      <c r="C1239" s="1" t="n">
        <v>12.99</v>
      </c>
      <c r="D1239" s="7" t="n">
        <f>HYPERLINK("https://www.somogyi.sk/product/ph-tester-a-teplomer-pht-01-12038","https://www.somogyi.sk/product/ph-tester-a-teplomer-pht-01-12038")</f>
        <v>0.0</v>
      </c>
      <c r="E1239" s="7" t="n">
        <f>HYPERLINK("https://www.somogyi.sk/productimages/product_main_images/small/12038.jpg","https://www.somogyi.sk/productimages/product_main_images/small/12038.jpg")</f>
        <v>0.0</v>
      </c>
      <c r="F1239" s="2" t="inlineStr">
        <is>
          <t>5999084902506</t>
        </is>
      </c>
      <c r="G1239" s="4" t="inlineStr">
        <is>
          <t xml:space="preserve"> • interval merania: pH 0,00 - 14,00 / 0 - 60 °C 
 • displej: LCD 4 digitový 
 • kalibrovanie: 1 presná kalibrácia 
 • kompenzácia teploty: automatická 
 • meracia hlavica: sklená elektróda 
 • príslušenstvo: ochranné puzdro, skrutkovače pre kalibráciu 
 • napájanie: 2 x LR44 (príslušenstvo) 
 • rozmery: 155 x 29 x 16 mm</t>
        </is>
      </c>
    </row>
    <row r="1240">
      <c r="A1240" s="6" t="inlineStr">
        <is>
          <t xml:space="preserve">   Zdravie, krása / Soľná lampa, kahanec</t>
        </is>
      </c>
      <c r="B1240" s="6" t="inlineStr">
        <is>
          <t/>
        </is>
      </c>
      <c r="C1240" s="6" t="inlineStr">
        <is>
          <t/>
        </is>
      </c>
      <c r="D1240" s="6" t="inlineStr">
        <is>
          <t/>
        </is>
      </c>
      <c r="E1240" s="6" t="inlineStr">
        <is>
          <t/>
        </is>
      </c>
      <c r="F1240" s="6" t="inlineStr">
        <is>
          <t/>
        </is>
      </c>
      <c r="G1240" s="6" t="inlineStr">
        <is>
          <t/>
        </is>
      </c>
    </row>
    <row r="1241">
      <c r="A1241" s="3" t="inlineStr">
        <is>
          <t>WS 2300</t>
        </is>
      </c>
      <c r="B1241" s="2" t="inlineStr">
        <is>
          <t>Soľná lampa, 2-3kg</t>
        </is>
      </c>
      <c r="C1241" s="1" t="n">
        <v>20.99</v>
      </c>
      <c r="D1241" s="7" t="n">
        <f>HYPERLINK("https://www.somogyi.sk/product/solna-lampa-2-3kg-ws-2300-9125","https://www.somogyi.sk/product/solna-lampa-2-3kg-ws-2300-9125")</f>
        <v>0.0</v>
      </c>
      <c r="E1241" s="7" t="n">
        <f>HYPERLINK("https://www.somogyi.sk/productimages/product_main_images/small/09125.jpg","https://www.somogyi.sk/productimages/product_main_images/small/09125.jpg")</f>
        <v>0.0</v>
      </c>
      <c r="F1241" s="2" t="inlineStr">
        <is>
          <t>5998312779989</t>
        </is>
      </c>
      <c r="G1241" s="4" t="inlineStr">
        <is>
          <t xml:space="preserve"> • tvar soľnej lampy: skala 
 • rozmer objímky: E14 
 • výkon: 15 W 
 • hmotnosť: 2 - 3 kg 
 • drevený podstavec: áno 
 • dĺžka napájacieho kábla: 1,5 m 
 • napájanie: 230 V~  / 50 Hz</t>
        </is>
      </c>
    </row>
    <row r="1242">
      <c r="A1242" s="3" t="inlineStr">
        <is>
          <t>SKL 12</t>
        </is>
      </c>
      <c r="B1242" s="2" t="inlineStr">
        <is>
          <t>Soľná lampa, tvar kameňa, 1-2kg</t>
        </is>
      </c>
      <c r="C1242" s="1" t="n">
        <v>16.99</v>
      </c>
      <c r="D1242" s="7" t="n">
        <f>HYPERLINK("https://www.somogyi.sk/product/solna-lampa-tvar-kamena-1-2kg-skl-12-14378","https://www.somogyi.sk/product/solna-lampa-tvar-kamena-1-2kg-skl-12-14378")</f>
        <v>0.0</v>
      </c>
      <c r="E1242" s="7" t="n">
        <f>HYPERLINK("https://www.somogyi.sk/productimages/product_main_images/small/14378.jpg","https://www.somogyi.sk/productimages/product_main_images/small/14378.jpg")</f>
        <v>0.0</v>
      </c>
      <c r="F1242" s="2" t="inlineStr">
        <is>
          <t>5998250341200</t>
        </is>
      </c>
      <c r="G1242" s="4" t="inlineStr">
        <is>
          <t xml:space="preserve"> • tvar soľnej lampy: skala 
 • rozmer objímky: E14 
 • výkon: 15 W 
 • hmotnosť: 1 - 2 kg 
 • drevený podstavec: áno 
 • dĺžka napájacieho kábla: 1,5 m 
 • napájanie: 230 V~  / 50 Hz</t>
        </is>
      </c>
    </row>
    <row r="1243">
      <c r="A1243" s="3" t="inlineStr">
        <is>
          <t>SKM 57</t>
        </is>
      </c>
      <c r="B1243" s="2" t="inlineStr">
        <is>
          <t>Soľná lampa na kahance, 500-700g</t>
        </is>
      </c>
      <c r="C1243" s="1" t="n">
        <v>3.99</v>
      </c>
      <c r="D1243" s="7" t="n">
        <f>HYPERLINK("https://www.somogyi.sk/product/solna-lampa-na-kahance-500-700g-skm-57-7413","https://www.somogyi.sk/product/solna-lampa-na-kahance-500-700g-skm-57-7413")</f>
        <v>0.0</v>
      </c>
      <c r="E1243" s="7" t="n">
        <f>HYPERLINK("https://www.somogyi.sk/productimages/product_main_images/small/07413.jpg","https://www.somogyi.sk/productimages/product_main_images/small/07413.jpg")</f>
        <v>0.0</v>
      </c>
      <c r="F1243" s="2" t="inlineStr">
        <is>
          <t>5998312764022</t>
        </is>
      </c>
      <c r="G1243" s="4" t="inlineStr">
        <is>
          <t xml:space="preserve"> • tvar soľnej lampy: skala 
 • hmotnosť: 0,5 - 0,7 kg 
 • drevený podstavec: nie</t>
        </is>
      </c>
    </row>
    <row r="1244">
      <c r="A1244" s="6" t="inlineStr">
        <is>
          <t xml:space="preserve">   Zdravie, krása / Žehlička na vlasy, kulma</t>
        </is>
      </c>
      <c r="B1244" s="6" t="inlineStr">
        <is>
          <t/>
        </is>
      </c>
      <c r="C1244" s="6" t="inlineStr">
        <is>
          <t/>
        </is>
      </c>
      <c r="D1244" s="6" t="inlineStr">
        <is>
          <t/>
        </is>
      </c>
      <c r="E1244" s="6" t="inlineStr">
        <is>
          <t/>
        </is>
      </c>
      <c r="F1244" s="6" t="inlineStr">
        <is>
          <t/>
        </is>
      </c>
      <c r="G1244" s="6" t="inlineStr">
        <is>
          <t/>
        </is>
      </c>
    </row>
    <row r="1245">
      <c r="A1245" s="3" t="inlineStr">
        <is>
          <t>HR-315</t>
        </is>
      </c>
      <c r="B1245" s="2" t="inlineStr">
        <is>
          <t>Kulma</t>
        </is>
      </c>
      <c r="C1245" s="1" t="n">
        <v>12.49</v>
      </c>
      <c r="D1245" s="7" t="n">
        <f>HYPERLINK("https://www.somogyi.sk/product/kulma-hr-315-13075","https://www.somogyi.sk/product/kulma-hr-315-13075")</f>
        <v>0.0</v>
      </c>
      <c r="E1245" s="7" t="n">
        <f>HYPERLINK("https://www.somogyi.sk/productimages/product_main_images/small/13075.jpg","https://www.somogyi.sk/productimages/product_main_images/small/13075.jpg")</f>
        <v>0.0</v>
      </c>
      <c r="F1245" s="2" t="inlineStr">
        <is>
          <t>5998777337441</t>
        </is>
      </c>
      <c r="G1245" s="4" t="inlineStr">
        <is>
          <t xml:space="preserve"> • výkon: 1000 W 
 • nastavenie teploty: 2 stupne 
 • displej: nie 
 • funkcia studeného vzduchu: áno 
 • ionizátor: áno 
 • rozmer okrúhlej kefy: 25 mm široká 
 • otáčateľná napájacia šnúra o 360°: áno 
 • napájanie: 230 V~ / 50 Hz</t>
        </is>
      </c>
    </row>
    <row r="1246">
      <c r="A1246" s="6" t="inlineStr">
        <is>
          <t xml:space="preserve">   Zdravie, krása / Fén na vlasy</t>
        </is>
      </c>
      <c r="B1246" s="6" t="inlineStr">
        <is>
          <t/>
        </is>
      </c>
      <c r="C1246" s="6" t="inlineStr">
        <is>
          <t/>
        </is>
      </c>
      <c r="D1246" s="6" t="inlineStr">
        <is>
          <t/>
        </is>
      </c>
      <c r="E1246" s="6" t="inlineStr">
        <is>
          <t/>
        </is>
      </c>
      <c r="F1246" s="6" t="inlineStr">
        <is>
          <t/>
        </is>
      </c>
      <c r="G1246" s="6" t="inlineStr">
        <is>
          <t/>
        </is>
      </c>
    </row>
    <row r="1247">
      <c r="A1247" s="3" t="inlineStr">
        <is>
          <t>HG HSZ 22</t>
        </is>
      </c>
      <c r="B1247" s="2" t="inlineStr">
        <is>
          <t>Fén na vlasy, 2000 W, 2 rýchlosti, 3 stupne teploty, studený vzduch</t>
        </is>
      </c>
      <c r="C1247" s="1" t="n">
        <v>18.99</v>
      </c>
      <c r="D1247" s="7" t="n">
        <f>HYPERLINK("https://www.somogyi.sk/product/fen-na-vlasy-2000-w-2-rychlosti-3-stupne-teploty-studeny-vzduch-hg-hsz-22-16597","https://www.somogyi.sk/product/fen-na-vlasy-2000-w-2-rychlosti-3-stupne-teploty-studeny-vzduch-hg-hsz-22-16597")</f>
        <v>0.0</v>
      </c>
      <c r="E1247" s="7" t="n">
        <f>HYPERLINK("https://www.somogyi.sk/productimages/product_main_images/small/16597.jpg","https://www.somogyi.sk/productimages/product_main_images/small/16597.jpg")</f>
        <v>0.0</v>
      </c>
      <c r="F1247" s="2" t="inlineStr">
        <is>
          <t>5999084946296</t>
        </is>
      </c>
      <c r="G1247" s="4" t="inlineStr">
        <is>
          <t xml:space="preserve"> • výkon: 1800-2200 W 
 • stupne teploty: 3 
 • stupne ventilátora: 2 
 • funkcia studeného vzduchu: áno 
 • príslušenstvo: redukcia 
 • možnosť zavesenia: áno 
 • napájanie: 230 V~</t>
        </is>
      </c>
    </row>
    <row r="1248">
      <c r="A1248" s="3" t="inlineStr">
        <is>
          <t>HG HSZ 18</t>
        </is>
      </c>
      <c r="B1248" s="2" t="inlineStr">
        <is>
          <t>Fén na vlasy</t>
        </is>
      </c>
      <c r="C1248" s="1" t="n">
        <v>13.99</v>
      </c>
      <c r="D1248" s="7" t="n">
        <f>HYPERLINK("https://www.somogyi.sk/product/fen-na-vlasy-hg-hsz-18-16786","https://www.somogyi.sk/product/fen-na-vlasy-hg-hsz-18-16786")</f>
        <v>0.0</v>
      </c>
      <c r="E1248" s="7" t="n">
        <f>HYPERLINK("https://www.somogyi.sk/productimages/product_main_images/small/16786.jpg","https://www.somogyi.sk/productimages/product_main_images/small/16786.jpg")</f>
        <v>0.0</v>
      </c>
      <c r="F1248" s="2" t="inlineStr">
        <is>
          <t>5999084948184</t>
        </is>
      </c>
      <c r="G1248" s="4" t="inlineStr">
        <is>
          <t xml:space="preserve"> • výkon: 1400 W 
 • stupne teploty: 2 
 • stupne ventilátora: 2 
 • tlačidlo ventilátora a ohrevu: spolu 
 • skladací: áno 
 • príslušenstvo: redukcia 
 • možnosť zavesenia: áno 
 • napájanie: 220 - 240 V~ / 50 - 60 Hz 
 • ďalšie informácie: dĺžka napájacieho kábla: 1,65 m</t>
        </is>
      </c>
    </row>
    <row r="1249">
      <c r="A1249" s="6" t="inlineStr">
        <is>
          <t xml:space="preserve">   Zdravie, krása / Osobná váha</t>
        </is>
      </c>
      <c r="B1249" s="6" t="inlineStr">
        <is>
          <t/>
        </is>
      </c>
      <c r="C1249" s="6" t="inlineStr">
        <is>
          <t/>
        </is>
      </c>
      <c r="D1249" s="6" t="inlineStr">
        <is>
          <t/>
        </is>
      </c>
      <c r="E1249" s="6" t="inlineStr">
        <is>
          <t/>
        </is>
      </c>
      <c r="F1249" s="6" t="inlineStr">
        <is>
          <t/>
        </is>
      </c>
      <c r="G1249" s="6" t="inlineStr">
        <is>
          <t/>
        </is>
      </c>
    </row>
    <row r="1250">
      <c r="A1250" s="3" t="inlineStr">
        <is>
          <t>DPS-202</t>
        </is>
      </c>
      <c r="B1250" s="2" t="inlineStr">
        <is>
          <t>Digitálna osobná váha</t>
        </is>
      </c>
      <c r="C1250" s="1" t="n">
        <v>14.49</v>
      </c>
      <c r="D1250" s="7" t="n">
        <f>HYPERLINK("https://www.somogyi.sk/product/digitalna-osobna-vaha-dps-202-13073","https://www.somogyi.sk/product/digitalna-osobna-vaha-dps-202-13073")</f>
        <v>0.0</v>
      </c>
      <c r="E1250" s="7" t="n">
        <f>HYPERLINK("https://www.somogyi.sk/productimages/product_main_images/small/13073.jpg","https://www.somogyi.sk/productimages/product_main_images/small/13073.jpg")</f>
        <v>0.0</v>
      </c>
      <c r="F1250" s="2" t="inlineStr">
        <is>
          <t>5998777335430</t>
        </is>
      </c>
      <c r="G1250" s="4" t="inlineStr">
        <is>
          <t xml:space="preserve"> • meracia hranica: 6 - 150 kg 
 • presnosť merania: 0,1 kg 
 • funkcie: meranie hmotnosti 
 • pamäť: nie 
 • zobrazenie preťaženia: áno 
 • signalizácia nízkeho napätia batérií: áno 
 • displej: LCD 
 • automatické za-/vypnutie: áno 
 • rozmery: kalená sklenená plocha: 29 x 28 x 0,6 cm, LCD displej: 73 x 28 mm 
 • napájanie: CR2032 batéria (príslušenstvo)</t>
        </is>
      </c>
    </row>
    <row r="1251">
      <c r="A1251" s="3" t="inlineStr">
        <is>
          <t>HG FMZ 18</t>
        </is>
      </c>
      <c r="B1251" s="2" t="inlineStr">
        <is>
          <t>Osobná váha</t>
        </is>
      </c>
      <c r="C1251" s="1" t="n">
        <v>13.99</v>
      </c>
      <c r="D1251" s="7" t="n">
        <f>HYPERLINK("https://www.somogyi.sk/product/osobna-vaha-hg-fmz-18-17767","https://www.somogyi.sk/product/osobna-vaha-hg-fmz-18-17767")</f>
        <v>0.0</v>
      </c>
      <c r="E1251" s="7" t="n">
        <f>HYPERLINK("https://www.somogyi.sk/productimages/product_main_images/small/17767.jpg","https://www.somogyi.sk/productimages/product_main_images/small/17767.jpg")</f>
        <v>0.0</v>
      </c>
      <c r="F1251" s="2" t="inlineStr">
        <is>
          <t>5999084957896</t>
        </is>
      </c>
      <c r="G1251" s="4" t="inlineStr">
        <is>
          <t xml:space="preserve"> • meracia hranica: 180 kg 
 • presnosť merania: 0,1 kg 
 • pamäť: pre 12 osôb 
 • zobrazenie preťaženia: áno 
 • signalizácia nízkeho napätia batérií: áno 
 • displej: LCD 
 • automatické za-/vypnutie: áno 
 • rozmery: 30 x 30 cm 
 • napájanie: 2 x 1,5 V (AAA) tužková batéria, nie je príslušenstvom</t>
        </is>
      </c>
    </row>
    <row r="1252">
      <c r="A1252" s="3" t="inlineStr">
        <is>
          <t>HG FM 12</t>
        </is>
      </c>
      <c r="B1252" s="2" t="inlineStr">
        <is>
          <t>Osobná váha, max 180 kg</t>
        </is>
      </c>
      <c r="C1252" s="1" t="n">
        <v>10.99</v>
      </c>
      <c r="D1252" s="7" t="n">
        <f>HYPERLINK("https://www.somogyi.sk/product/osobna-vaha-max-180-kg-hg-fm-12-17552","https://www.somogyi.sk/product/osobna-vaha-max-180-kg-hg-fm-12-17552")</f>
        <v>0.0</v>
      </c>
      <c r="E1252" s="7" t="n">
        <f>HYPERLINK("https://www.somogyi.sk/productimages/product_main_images/small/17552.jpg","https://www.somogyi.sk/productimages/product_main_images/small/17552.jpg")</f>
        <v>0.0</v>
      </c>
      <c r="F1252" s="2" t="inlineStr">
        <is>
          <t>5999084955748</t>
        </is>
      </c>
      <c r="G1252" s="4" t="inlineStr">
        <is>
          <t xml:space="preserve"> • meracia hranica: 180 kg 
 • presnosť merania: 0,1 kg 
 • zobrazenie preťaženia: áno 
 • signalizácia nízkeho napätia batérií: áno 
 • displej: LCD 
 • automatické za-/vypnutie: áno 
 • rozmery: 280 x 280 x 20 mm / LCD displej: 62 x 26 mm 
 • napájanie: 2 x 1,5 V (AAA) batéria, nie je príslušenstvom</t>
        </is>
      </c>
    </row>
    <row r="1253">
      <c r="A1253" s="6" t="inlineStr">
        <is>
          <t xml:space="preserve">   Zdravie, krása / Čistička vzduchu</t>
        </is>
      </c>
      <c r="B1253" s="6" t="inlineStr">
        <is>
          <t/>
        </is>
      </c>
      <c r="C1253" s="6" t="inlineStr">
        <is>
          <t/>
        </is>
      </c>
      <c r="D1253" s="6" t="inlineStr">
        <is>
          <t/>
        </is>
      </c>
      <c r="E1253" s="6" t="inlineStr">
        <is>
          <t/>
        </is>
      </c>
      <c r="F1253" s="6" t="inlineStr">
        <is>
          <t/>
        </is>
      </c>
      <c r="G1253" s="6" t="inlineStr">
        <is>
          <t/>
        </is>
      </c>
    </row>
    <row r="1254">
      <c r="A1254" s="3" t="inlineStr">
        <is>
          <t>AIR 18 WIFI</t>
        </is>
      </c>
      <c r="B1254" s="2" t="inlineStr">
        <is>
          <t>Čistička vzduchu</t>
        </is>
      </c>
      <c r="C1254" s="1" t="n">
        <v>106.9</v>
      </c>
      <c r="D1254" s="7" t="n">
        <f>HYPERLINK("https://www.somogyi.sk/product/cisticka-vzduchu-air-18-wifi-17774","https://www.somogyi.sk/product/cisticka-vzduchu-air-18-wifi-17774")</f>
        <v>0.0</v>
      </c>
      <c r="E1254" s="7" t="n">
        <f>HYPERLINK("https://www.somogyi.sk/productimages/product_main_images/small/17774.jpg","https://www.somogyi.sk/productimages/product_main_images/small/17774.jpg")</f>
        <v>0.0</v>
      </c>
      <c r="F1254" s="2" t="inlineStr">
        <is>
          <t>5999084957964</t>
        </is>
      </c>
      <c r="G1254" s="4" t="inlineStr">
        <is>
          <t xml:space="preserve"> • stupne rýchlosti: 3 
 • ionizátor: anión funkcia 
 • vymeniteľný filter vzduchu: 1 vzduchový filter je príslušenstvom (AIR 18 WIFI/S) 
 • odporúčaná veľkosť miestnosti: max. 18 m² 
 • prietok vzduchu: 150 m³ / h 
 • výkon: 28 W 
 • napájanie: 230 V~ / 50 Hz 
 • rozmery: ∅213 x 280 mm</t>
        </is>
      </c>
    </row>
    <row r="1255">
      <c r="A1255" s="3" t="inlineStr">
        <is>
          <t>AIR 18 WIFI/S</t>
        </is>
      </c>
      <c r="B1255" s="2" t="inlineStr">
        <is>
          <t>Filter pre čističku vzduchu AIR 18 WIFI</t>
        </is>
      </c>
      <c r="C1255" s="1" t="n">
        <v>19.99</v>
      </c>
      <c r="D1255" s="7" t="n">
        <f>HYPERLINK("https://www.somogyi.sk/product/filter-pre-cisticku-vzduchu-air-18-wifi-air-18-wifi-s-17775","https://www.somogyi.sk/product/filter-pre-cisticku-vzduchu-air-18-wifi-air-18-wifi-s-17775")</f>
        <v>0.0</v>
      </c>
      <c r="E1255" s="7" t="n">
        <f>HYPERLINK("https://www.somogyi.sk/productimages/product_main_images/small/17775.jpg","https://www.somogyi.sk/productimages/product_main_images/small/17775.jpg")</f>
        <v>0.0</v>
      </c>
      <c r="F1255" s="2" t="inlineStr">
        <is>
          <t>5999084957971</t>
        </is>
      </c>
      <c r="G1255" s="4" t="inlineStr">
        <is>
          <t xml:space="preserve"> • rozmery: ∅174 x 140 mm</t>
        </is>
      </c>
    </row>
    <row r="1256">
      <c r="A1256" s="3" t="inlineStr">
        <is>
          <t>AIR 20/S</t>
        </is>
      </c>
      <c r="B1256" s="2" t="inlineStr">
        <is>
          <t>Filter k AIR 20</t>
        </is>
      </c>
      <c r="C1256" s="1" t="n">
        <v>7.19</v>
      </c>
      <c r="D1256" s="7" t="n">
        <f>HYPERLINK("https://www.somogyi.sk/product/filter-k-air-20-air-20-s-13578","https://www.somogyi.sk/product/filter-k-air-20-air-20-s-13578")</f>
        <v>0.0</v>
      </c>
      <c r="E1256" s="7" t="n">
        <f>HYPERLINK("https://www.somogyi.sk/productimages/product_main_images/small/13578.jpg","https://www.somogyi.sk/productimages/product_main_images/small/13578.jpg")</f>
        <v>0.0</v>
      </c>
      <c r="F1256" s="2" t="inlineStr">
        <is>
          <t>5999084916305</t>
        </is>
      </c>
      <c r="G1256" s="4" t="inlineStr">
        <is>
          <t xml:space="preserve"> • rozmery: 65 x 95 x 25 mm, 65 x 95 x 40 mm 
 • ďalšie informácie: 4 stupňový filtračný systém k čističke vzduchu AIR 20</t>
        </is>
      </c>
    </row>
    <row r="1257">
      <c r="A1257" s="3" t="inlineStr">
        <is>
          <t>AIR 50</t>
        </is>
      </c>
      <c r="B1257" s="2" t="inlineStr">
        <is>
          <t>Čistička vzduchu, 400 m3/h, 50 m2</t>
        </is>
      </c>
      <c r="C1257" s="1" t="n">
        <v>170.9</v>
      </c>
      <c r="D1257" s="7" t="n">
        <f>HYPERLINK("https://www.somogyi.sk/product/cisticka-vzduchu-400-m3-h-50-m2-air-50-17260","https://www.somogyi.sk/product/cisticka-vzduchu-400-m3-h-50-m2-air-50-17260")</f>
        <v>0.0</v>
      </c>
      <c r="E1257" s="7" t="n">
        <f>HYPERLINK("https://www.somogyi.sk/productimages/product_main_images/small/17260.jpg","https://www.somogyi.sk/productimages/product_main_images/small/17260.jpg")</f>
        <v>0.0</v>
      </c>
      <c r="F1257" s="2" t="inlineStr">
        <is>
          <t>5999084952822</t>
        </is>
      </c>
      <c r="G1257" s="4" t="inlineStr">
        <is>
          <t xml:space="preserve"> • vymeniteľný filter vzduchu: 1 ks je príslušenstvom (AIR 50/S) 
 • farbu meniaca LED: áno 
 • odporúčaná veľkosť miestnosti: max. 50 m² 
 • prietok vzduchu: 400 m3/h 
 • výkon: 50 W 
 • hlučnosť: max. 56 dB(A 
 • dĺžka napájacieho kábla: 1,5 m 
 • napájanie: 230 V~ / 50 Hz 
 • rozmery: 27 x 31 x 50,5 cm 
 • hmotnosť: 4,6 kg</t>
        </is>
      </c>
    </row>
    <row r="1258">
      <c r="A1258" s="3" t="inlineStr">
        <is>
          <t>AIR 50/S</t>
        </is>
      </c>
      <c r="B1258" s="2" t="inlineStr">
        <is>
          <t>Filter k AIR 50</t>
        </is>
      </c>
      <c r="C1258" s="1" t="n">
        <v>41.99</v>
      </c>
      <c r="D1258" s="7" t="n">
        <f>HYPERLINK("https://www.somogyi.sk/product/filter-k-air-50-air-50-s-17261","https://www.somogyi.sk/product/filter-k-air-50-air-50-s-17261")</f>
        <v>0.0</v>
      </c>
      <c r="E1258" s="7" t="n">
        <f>HYPERLINK("https://www.somogyi.sk/productimages/product_main_images/small/17261.jpg","https://www.somogyi.sk/productimages/product_main_images/small/17261.jpg")</f>
        <v>0.0</v>
      </c>
      <c r="F1258" s="2" t="inlineStr">
        <is>
          <t>5999084952839</t>
        </is>
      </c>
      <c r="G1258" s="4" t="inlineStr">
        <is>
          <t xml:space="preserve"> • rozmery: Ø215x256 mm</t>
        </is>
      </c>
    </row>
    <row r="1259">
      <c r="A1259" s="6" t="inlineStr">
        <is>
          <t xml:space="preserve">   Zdravie, krása / Zastrihávač vlasov, strihač brady</t>
        </is>
      </c>
      <c r="B1259" s="6" t="inlineStr">
        <is>
          <t/>
        </is>
      </c>
      <c r="C1259" s="6" t="inlineStr">
        <is>
          <t/>
        </is>
      </c>
      <c r="D1259" s="6" t="inlineStr">
        <is>
          <t/>
        </is>
      </c>
      <c r="E1259" s="6" t="inlineStr">
        <is>
          <t/>
        </is>
      </c>
      <c r="F1259" s="6" t="inlineStr">
        <is>
          <t/>
        </is>
      </c>
      <c r="G1259" s="6" t="inlineStr">
        <is>
          <t/>
        </is>
      </c>
    </row>
    <row r="1260">
      <c r="A1260" s="3" t="inlineStr">
        <is>
          <t>HG TR 01</t>
        </is>
      </c>
      <c r="B1260" s="2" t="inlineStr">
        <is>
          <t>Zastrihávač nosných chľpkov</t>
        </is>
      </c>
      <c r="C1260" s="1" t="n">
        <v>7.99</v>
      </c>
      <c r="D1260" s="7" t="n">
        <f>HYPERLINK("https://www.somogyi.sk/product/zastrihavac-nosnych-chlpkov-hg-tr-01-17621","https://www.somogyi.sk/product/zastrihavac-nosnych-chlpkov-hg-tr-01-17621")</f>
        <v>0.0</v>
      </c>
      <c r="E1260" s="7" t="n">
        <f>HYPERLINK("https://www.somogyi.sk/productimages/product_main_images/small/17621.jpg","https://www.somogyi.sk/productimages/product_main_images/small/17621.jpg")</f>
        <v>0.0</v>
      </c>
      <c r="F1260" s="2" t="inlineStr">
        <is>
          <t>5999084956431</t>
        </is>
      </c>
      <c r="G1260" s="4" t="inlineStr">
        <is>
          <t xml:space="preserve"> • rozmery: ∅2,5 x 16 cm 
 • napájanie: 1 x 1,5 V (AA) tužková batéria, nie je príslušenstvom</t>
        </is>
      </c>
    </row>
    <row r="1261">
      <c r="A1261" s="3" t="inlineStr">
        <is>
          <t>HG HS 12</t>
        </is>
      </c>
      <c r="B1261" s="2" t="inlineStr">
        <is>
          <t>Zastrihávač vlasov a chĺpkov</t>
        </is>
      </c>
      <c r="C1261" s="1" t="n">
        <v>30.99</v>
      </c>
      <c r="D1261" s="7" t="n">
        <f>HYPERLINK("https://www.somogyi.sk/product/zastrihavac-vlasov-a-chlpkov-hg-hs-12-17620","https://www.somogyi.sk/product/zastrihavac-vlasov-a-chlpkov-hg-hs-12-17620")</f>
        <v>0.0</v>
      </c>
      <c r="E1261" s="7" t="n">
        <f>HYPERLINK("https://www.somogyi.sk/productimages/product_main_images/small/17620.jpg","https://www.somogyi.sk/productimages/product_main_images/small/17620.jpg")</f>
        <v>0.0</v>
      </c>
      <c r="F1261" s="2" t="inlineStr">
        <is>
          <t>5999084956424</t>
        </is>
      </c>
      <c r="G1261" s="4" t="inlineStr">
        <is>
          <t xml:space="preserve"> • nože: 5 vymeniteľných hláv: široká, normálna a presná strihacia hlava, zastrihávač nosných chĺpkov, holiaci prístroj 
 • nastavenia dĺžky: 7 plastových hrebeňov: zastrihávač vlasov 3, 6, 9, 12 mm / zastrihávač brady 4, 6, 8 mm 
 • napájanie: zabudovaný Li-ion akumulátor</t>
        </is>
      </c>
    </row>
    <row r="1262">
      <c r="A1262" s="6" t="inlineStr">
        <is>
          <t xml:space="preserve">   Zdravie, krása / Elektrická zubná kefka</t>
        </is>
      </c>
      <c r="B1262" s="6" t="inlineStr">
        <is>
          <t/>
        </is>
      </c>
      <c r="C1262" s="6" t="inlineStr">
        <is>
          <t/>
        </is>
      </c>
      <c r="D1262" s="6" t="inlineStr">
        <is>
          <t/>
        </is>
      </c>
      <c r="E1262" s="6" t="inlineStr">
        <is>
          <t/>
        </is>
      </c>
      <c r="F1262" s="6" t="inlineStr">
        <is>
          <t/>
        </is>
      </c>
      <c r="G1262" s="6" t="inlineStr">
        <is>
          <t/>
        </is>
      </c>
    </row>
    <row r="1263">
      <c r="A1263" s="3" t="inlineStr">
        <is>
          <t>D16.513U</t>
        </is>
      </c>
      <c r="B1263" s="2" t="inlineStr">
        <is>
          <t>Oral-B elektrická zubná kefka</t>
        </is>
      </c>
      <c r="C1263" s="1" t="n">
        <v>50.99</v>
      </c>
      <c r="D1263" s="7" t="n">
        <f>HYPERLINK("https://www.somogyi.sk/product/oral-b-elektricka-zubna-kefka-d16-513u-18370","https://www.somogyi.sk/product/oral-b-elektricka-zubna-kefka-d16-513u-18370")</f>
        <v>0.0</v>
      </c>
      <c r="E1263" s="7" t="n">
        <f>HYPERLINK("https://www.somogyi.sk/productimages/product_main_images/small/18370.jpg","https://www.somogyi.sk/productimages/product_main_images/small/18370.jpg")</f>
        <v>0.0</v>
      </c>
      <c r="F1263" s="2" t="inlineStr">
        <is>
          <t>4210201851813</t>
        </is>
      </c>
      <c r="G1263" s="4" t="inlineStr">
        <is>
          <t xml:space="preserve"> • dokáže odstrániť až o 100% viac povlaku ako manuálne zubné kefky Oral-B 
 • jeho dynamický pohyb podporuje efektívne čistenie 
 • vibračný, rotačný a oscilačný pohyb okrúhlej hlavy zubnej kefky, inšpirovaný dentálnymi nástrojmi, uvoľňuje a odstraňuje zubný povlak 
 • denný režim čistenia zubov 
 • s vizuálnym snímačom tlaku 
 • špičková 3D (oscilačno-rotačná a pulzujúca) technológia 
 • 7.600 otáčok 
 • 20.000 impulzov/min 
 • dvojminútový časovač 
 • displej nabíjania 
 • Li-ion akumulátor</t>
        </is>
      </c>
    </row>
    <row r="1264">
      <c r="A1264" s="6" t="inlineStr">
        <is>
          <t xml:space="preserve">   Zdravie, krása / N/A</t>
        </is>
      </c>
      <c r="B1264" s="6" t="inlineStr">
        <is>
          <t/>
        </is>
      </c>
      <c r="C1264" s="6" t="inlineStr">
        <is>
          <t/>
        </is>
      </c>
      <c r="D1264" s="6" t="inlineStr">
        <is>
          <t/>
        </is>
      </c>
      <c r="E1264" s="6" t="inlineStr">
        <is>
          <t/>
        </is>
      </c>
      <c r="F1264" s="6" t="inlineStr">
        <is>
          <t/>
        </is>
      </c>
      <c r="G1264" s="6" t="inlineStr">
        <is>
          <t/>
        </is>
      </c>
    </row>
    <row r="1265">
      <c r="A1265" s="3" t="inlineStr">
        <is>
          <t>THA-HND-0013-G</t>
        </is>
      </c>
      <c r="B1265" s="2" t="inlineStr">
        <is>
          <t>THAW, nabíjateľný ohrievač rúk, veľký</t>
        </is>
      </c>
      <c r="C1265" s="1" t="n">
        <v>27.99</v>
      </c>
      <c r="D1265" s="7" t="n">
        <f>HYPERLINK("https://www.somogyi.sk/product/thaw-nabijatelny-ohrievac-ruk-velky-tha-hnd-0013-g-18009","https://www.somogyi.sk/product/thaw-nabijatelny-ohrievac-ruk-velky-tha-hnd-0013-g-18009")</f>
        <v>0.0</v>
      </c>
      <c r="E1265" s="7" t="n">
        <f>HYPERLINK("https://www.somogyi.sk/productimages/product_main_images/small/18009.jpg","https://www.somogyi.sk/productimages/product_main_images/small/18009.jpg")</f>
        <v>0.0</v>
      </c>
      <c r="F1265" s="2" t="inlineStr">
        <is>
          <t>5060063229508</t>
        </is>
      </c>
      <c r="G1265" s="4" t="inlineStr">
        <is>
          <t xml:space="preserve"> • typy prevádzok: 3 režimy: • Low: 46 °C, cca. 17 h prevádzkový čas • Medium: 53 °C, cca. 14 h prevádzkový čas • High: 60 °C, cca. 10 h prevádzkový čas 
 • funkcie: powerbank 
 • kapacita akumulátora: 10.000 mAh 
 • balenie: 1 ks 
 • napájanie: zabudovaný akumulátor 
 • rozmery: 10,5 x 7 x 3 cm 
 • príslušenstvo: USB C kábel je príslušenstvom 
 • hmotnosť: 220 g</t>
        </is>
      </c>
    </row>
    <row r="1266">
      <c r="A1266" s="3" t="inlineStr">
        <is>
          <t>F55</t>
        </is>
      </c>
      <c r="B1266" s="2" t="inlineStr">
        <is>
          <t>Pekatherm, Vyhrievacia papuča, 27x30x23 cm</t>
        </is>
      </c>
      <c r="C1266" s="1" t="n">
        <v>47.99</v>
      </c>
      <c r="D1266" s="7" t="n">
        <f>HYPERLINK("https://www.somogyi.sk/product/pekatherm-vyhrievacia-papuca-27x30x23-cm-f55-18302","https://www.somogyi.sk/product/pekatherm-vyhrievacia-papuca-27x30x23-cm-f55-18302")</f>
        <v>0.0</v>
      </c>
      <c r="E1266" s="7" t="n">
        <f>HYPERLINK("https://www.somogyi.sk/productimages/product_main_images/small/18302.jpg","https://www.somogyi.sk/productimages/product_main_images/small/18302.jpg")</f>
        <v>0.0</v>
      </c>
      <c r="F1266" s="2" t="inlineStr">
        <is>
          <t>8436531910556</t>
        </is>
      </c>
      <c r="G1266" s="4" t="inlineStr">
        <is>
          <t xml:space="preserve"> • výkon: max.100 W 
 • typy prevádzok: 3 stupne ohrevu 
 • napájanie: 220-240 V~ / 50 Hz 
 • rozmery: 27 x 30 x 23 cm</t>
        </is>
      </c>
    </row>
    <row r="1267">
      <c r="A1267" s="3" t="inlineStr">
        <is>
          <t>THA-BOD-0015-G</t>
        </is>
      </c>
      <c r="B1267" s="2" t="inlineStr">
        <is>
          <t>THAW, vyhrievaný sedák s akumulátorom</t>
        </is>
      </c>
      <c r="C1267" s="1" t="n">
        <v>46.99</v>
      </c>
      <c r="D1267" s="7" t="n">
        <f>HYPERLINK("https://www.somogyi.sk/product/thaw-vyhrievany-sedak-s-akumulatorom-tha-bod-0015-g-18010","https://www.somogyi.sk/product/thaw-vyhrievany-sedak-s-akumulatorom-tha-bod-0015-g-18010")</f>
        <v>0.0</v>
      </c>
      <c r="E1267" s="7" t="n">
        <f>HYPERLINK("https://www.somogyi.sk/productimages/product_main_images/small/18010.jpg","https://www.somogyi.sk/productimages/product_main_images/small/18010.jpg")</f>
        <v>0.0</v>
      </c>
      <c r="F1267" s="2" t="inlineStr">
        <is>
          <t>5060063229553</t>
        </is>
      </c>
      <c r="G1267" s="4" t="inlineStr">
        <is>
          <t xml:space="preserve"> • prevádzka: 3 režimy: • Low: 43 °C • Medium: 52 °C • High: 58 °C 
 • rozmery: 38 x 38 x 5 cm • hmotnosť (bez powerbankl): 360 g</t>
        </is>
      </c>
    </row>
    <row r="1268">
      <c r="A1268" s="3" t="inlineStr">
        <is>
          <t>THA-FOT-0003-G</t>
        </is>
      </c>
      <c r="B1268" s="2" t="inlineStr">
        <is>
          <t>THAW, jednorazová ohrievacia vložka chodidla, 2 ks / balenie</t>
        </is>
      </c>
      <c r="C1268" s="1" t="n">
        <v>2.49</v>
      </c>
      <c r="D1268" s="7" t="n">
        <f>HYPERLINK("https://www.somogyi.sk/product/thaw-jednorazova-ohrievacia-vlozka-chodidla-2-ks-balenie-tha-fot-0003-g-18007","https://www.somogyi.sk/product/thaw-jednorazova-ohrievacia-vlozka-chodidla-2-ks-balenie-tha-fot-0003-g-18007")</f>
        <v>0.0</v>
      </c>
      <c r="E1268" s="7" t="n">
        <f>HYPERLINK("https://www.somogyi.sk/productimages/product_main_images/small/18007.jpg","https://www.somogyi.sk/productimages/product_main_images/small/18007.jpg")</f>
        <v>0.0</v>
      </c>
      <c r="F1268" s="2" t="inlineStr">
        <is>
          <t>5060063229461</t>
        </is>
      </c>
      <c r="G1268" s="4" t="inlineStr">
        <is>
          <t xml:space="preserve"> • teplota: ohrieva cca. do 37 °C 
 • balenie: 2 ks / balenie • 30 balení / displej • Dá sa objednať iba v displeji!</t>
        </is>
      </c>
    </row>
    <row r="1269">
      <c r="A1269" s="3" t="inlineStr">
        <is>
          <t>THA-FOT-0004-G</t>
        </is>
      </c>
      <c r="B1269" s="2" t="inlineStr">
        <is>
          <t>THAW, jednorazová ohrievacia vložka prstov na nohách, 2 ks / balenie</t>
        </is>
      </c>
      <c r="C1269" s="1" t="n">
        <v>1.69</v>
      </c>
      <c r="D1269" s="7" t="n">
        <f>HYPERLINK("https://www.somogyi.sk/product/thaw-jednorazova-ohrievacia-vlozka-prstov-na-nohach-2-ks-balenie-tha-fot-0004-g-18006","https://www.somogyi.sk/product/thaw-jednorazova-ohrievacia-vlozka-prstov-na-nohach-2-ks-balenie-tha-fot-0004-g-18006")</f>
        <v>0.0</v>
      </c>
      <c r="E1269" s="7" t="n">
        <f>HYPERLINK("https://www.somogyi.sk/productimages/product_main_images/small/18006.jpg","https://www.somogyi.sk/productimages/product_main_images/small/18006.jpg")</f>
        <v>0.0</v>
      </c>
      <c r="F1269" s="2" t="inlineStr">
        <is>
          <t>5060063229492</t>
        </is>
      </c>
      <c r="G1269" s="4" t="inlineStr">
        <is>
          <t xml:space="preserve"> • teplota: ohrieva cca. do 57 °C 
 • balenie: 2 ks / balenie • 40 balení / displej • Dá sa objednať iba v displeji!</t>
        </is>
      </c>
    </row>
    <row r="1270">
      <c r="A1270" s="3" t="inlineStr">
        <is>
          <t>THA-HND-0007-G</t>
        </is>
      </c>
      <c r="B1270" s="2" t="inlineStr">
        <is>
          <t>THAW, jednorazový ohrievací vankúšik do ruky, veľký</t>
        </is>
      </c>
      <c r="C1270" s="1" t="n">
        <v>0.89</v>
      </c>
      <c r="D1270" s="7" t="n">
        <f>HYPERLINK("https://www.somogyi.sk/product/thaw-jednorazovy-ohrievaci-vankusik-do-ruky-velky-tha-hnd-0007-g-18005","https://www.somogyi.sk/product/thaw-jednorazovy-ohrievaci-vankusik-do-ruky-velky-tha-hnd-0007-g-18005")</f>
        <v>0.0</v>
      </c>
      <c r="E1270" s="7" t="n">
        <f>HYPERLINK("https://www.somogyi.sk/productimages/product_main_images/small/18005.jpg","https://www.somogyi.sk/productimages/product_main_images/small/18005.jpg")</f>
        <v>0.0</v>
      </c>
      <c r="F1270" s="2" t="inlineStr">
        <is>
          <t>5060063229454</t>
        </is>
      </c>
      <c r="G1270" s="4" t="inlineStr">
        <is>
          <t xml:space="preserve"> • teplota: ohrieva cca. do 51 °C 
 • balenie: 1 ks / balenie • 40 balení / displej • Dá sa objednať iba v displeji!</t>
        </is>
      </c>
    </row>
    <row r="1271">
      <c r="A1271" s="3" t="inlineStr">
        <is>
          <t>UP117D</t>
        </is>
      </c>
      <c r="B1271" s="2" t="inlineStr">
        <is>
          <t>Pekatherm, Elektrická vyhrievaná plachta, odpojiteľný kontroler,  170x90 cm</t>
        </is>
      </c>
      <c r="C1271" s="1" t="n">
        <v>43.99</v>
      </c>
      <c r="D1271" s="7" t="n">
        <f>HYPERLINK("https://www.somogyi.sk/product/pekatherm-elektricka-vyhrievana-plachta-odpojitelny-kontroler-170x90-cm-up117d-18300","https://www.somogyi.sk/product/pekatherm-elektricka-vyhrievana-plachta-odpojitelny-kontroler-170x90-cm-up117d-18300")</f>
        <v>0.0</v>
      </c>
      <c r="E1271" s="7" t="n">
        <f>HYPERLINK("https://www.somogyi.sk/productimages/product_main_images/small/18300.jpg","https://www.somogyi.sk/productimages/product_main_images/small/18300.jpg")</f>
        <v>0.0</v>
      </c>
      <c r="F1271" s="2" t="inlineStr">
        <is>
          <t>8436531911225</t>
        </is>
      </c>
      <c r="G1271" s="4" t="inlineStr">
        <is>
          <t xml:space="preserve"> • výkon: max.60 W 
 • typy prevádzok: 3 stupne ohrevu 
 • napájanie: 220-240 V~ / 50 Hz 
 • rozmery: 170 x 90 cm</t>
        </is>
      </c>
    </row>
    <row r="1272">
      <c r="A1272" s="6" t="inlineStr">
        <is>
          <t xml:space="preserve">   Zvuková technika / Autorádio a prehrávač hudby</t>
        </is>
      </c>
      <c r="B1272" s="6" t="inlineStr">
        <is>
          <t/>
        </is>
      </c>
      <c r="C1272" s="6" t="inlineStr">
        <is>
          <t/>
        </is>
      </c>
      <c r="D1272" s="6" t="inlineStr">
        <is>
          <t/>
        </is>
      </c>
      <c r="E1272" s="6" t="inlineStr">
        <is>
          <t/>
        </is>
      </c>
      <c r="F1272" s="6" t="inlineStr">
        <is>
          <t/>
        </is>
      </c>
      <c r="G1272" s="6" t="inlineStr">
        <is>
          <t/>
        </is>
      </c>
    </row>
    <row r="1273">
      <c r="A1273" s="3" t="inlineStr">
        <is>
          <t>VB X900</t>
        </is>
      </c>
      <c r="B1273" s="2" t="inlineStr">
        <is>
          <t>Autorádio a multimediálny prehrávač</t>
        </is>
      </c>
      <c r="C1273" s="1" t="n">
        <v>129.9</v>
      </c>
      <c r="D1273" s="7" t="n">
        <f>HYPERLINK("https://www.somogyi.sk/product/autoradio-a-multimedialny-prehravac-vb-x900-16731","https://www.somogyi.sk/product/autoradio-a-multimedialny-prehravac-vb-x900-16731")</f>
        <v>0.0</v>
      </c>
      <c r="E1273" s="7" t="n">
        <f>HYPERLINK("https://www.somogyi.sk/productimages/product_main_images/small/16731.jpg","https://www.somogyi.sk/productimages/product_main_images/small/16731.jpg")</f>
        <v>0.0</v>
      </c>
      <c r="F1273" s="2" t="inlineStr">
        <is>
          <t>5999084947637</t>
        </is>
      </c>
      <c r="G1273" s="4" t="inlineStr">
        <is>
          <t xml:space="preserve"> • LCD displej: 7,0” (18cm) fix LCD dotyková obrazovka 
 • výstupný výkon: 4 x 50 W 
 • hodiny: áno 
 • bezdrôtové BT spojenie: 2.1 + EDR / max. 5 m • Bluetooth 2.402-2.480 GHz ERP ≤2.5 mW 
 • informácie o programoch: áno 
 • odstrániteľný čelný panel, s puzdrom: nie 
 • rádiofrekvenčné pásmo: AM / FM 
 • množstvo uložených rádiových staníc: 18 ks FM / 12 ks AM 
 • FM RDS rádio: áno 
 • RDS služba: áno 
 • organizovanie knižnice/krokovanie: áno 
 • pripojiteľné zariadenie: USB / microSD, (max. 32 GB) 
 • skrytá zásuvka pre pamäťovú kartu: nie 
 • video kompatibilita: MKV; AVI; MOV / MP4;TS;ASF; FLV; PMP; RMVB; MPG / VOB 
 • audio kompatibilita: MP3; WMA; OGG; FLAC; APE; AAC; AC3; DTS 
 • obrázková kompatibilita: JPEG; BMP; GIF; PNG 
 • video výstup: 2 x RCA 
 • video vstup: 2 1x RCA 
 • dedikovaná prípojka pre parkovací senzor: áno 
 • audio výstup: 2 1xRCA zosilňovač aktívny basový reproduktor výstup 
 • audio vstup: 2 x RCA 
 • AUX vstup: Ø3,5 mm 
 • ISO prípojka: áno 
 • príslušenstvo: diaľkový ovládač(CR2025, je príslušenstvom), štipcový mikrofón, ISO prípojka 
 • rozmery: 178 x 101 x 70 mm / 2xDIN 
 • hmotnosť: 0,78 kg</t>
        </is>
      </c>
    </row>
    <row r="1274">
      <c r="A1274" s="3" t="inlineStr">
        <is>
          <t>VBT 1100/BL</t>
        </is>
      </c>
      <c r="B1274" s="2" t="inlineStr">
        <is>
          <t>Autorádio</t>
        </is>
      </c>
      <c r="C1274" s="1" t="n">
        <v>31.99</v>
      </c>
      <c r="D1274" s="7" t="n">
        <f>HYPERLINK("https://www.somogyi.sk/product/autoradio-vbt-1100-bl-17518","https://www.somogyi.sk/product/autoradio-vbt-1100-bl-17518")</f>
        <v>0.0</v>
      </c>
      <c r="E1274" s="7" t="n">
        <f>HYPERLINK("https://www.somogyi.sk/productimages/product_main_images/small/17518.jpg","https://www.somogyi.sk/productimages/product_main_images/small/17518.jpg")</f>
        <v>0.0</v>
      </c>
      <c r="F1274" s="2" t="inlineStr">
        <is>
          <t>5999084955403</t>
        </is>
      </c>
      <c r="G1274" s="4" t="inlineStr">
        <is>
          <t xml:space="preserve"> • osvetlenie pozadia: modrý LED displej a podsvietenie gombíka 
 • výstupný výkon: 4 x 45 W 
 • hodiny: presný čas sa zobrazuje aj vo vypnutom stave 
 • bezdrôtové BT spojenie: v2.1 + EDR / max.5 m • Bluetooth 2.402-2.480 GHz ERP ≤2.5 mW 
 • odstrániteľný čelný panel, s puzdrom: nie 
 • rádiofrekvenčné pásmo: 87,5-108,0 MHz 
 • množstvo uložených rádiových staníc: 18 ks 
 • FM RDS rádio: nie 
 • organizovanie knižnice/krokovanie: áno 
 • pripojiteľné zariadenie: USB / SD 
 • audio kompatibilita: MP3 
 • AUX vstup: Ø 35 mm 
 • výstup pre zosilňovač/subwoofer: 4 x RCA 
 • príslušenstvo: diaľkový ovládač (CR2025 gombíková batéria, je príslušenstvom) 
 • rozmery: 178 x 50 x 125 mm 
 • hmotnosť: 400 g</t>
        </is>
      </c>
    </row>
    <row r="1275">
      <c r="A1275" s="3" t="inlineStr">
        <is>
          <t>VBT 1100/RD</t>
        </is>
      </c>
      <c r="B1275" s="2" t="inlineStr">
        <is>
          <t>Autorádio</t>
        </is>
      </c>
      <c r="C1275" s="1" t="n">
        <v>31.99</v>
      </c>
      <c r="D1275" s="7" t="n">
        <f>HYPERLINK("https://www.somogyi.sk/product/autoradio-vbt-1100-rd-17519","https://www.somogyi.sk/product/autoradio-vbt-1100-rd-17519")</f>
        <v>0.0</v>
      </c>
      <c r="E1275" s="7" t="n">
        <f>HYPERLINK("https://www.somogyi.sk/productimages/product_main_images/small/17519.jpg","https://www.somogyi.sk/productimages/product_main_images/small/17519.jpg")</f>
        <v>0.0</v>
      </c>
      <c r="F1275" s="2" t="inlineStr">
        <is>
          <t>5999084955410</t>
        </is>
      </c>
      <c r="G1275" s="4" t="inlineStr">
        <is>
          <t xml:space="preserve"> • výstupný výkon: 4 x 45 W 
 • hodiny: presný čas sa zobrazuje aj vo vypnutom stave 
 • bezdrôtové BT spojenie: v2.1 + EDR / max.5 m • Bluetooth 2.402-2.480 GHz ERP ≤2.5 mW 
 • odstrániteľný čelný panel, s puzdrom: nie 
 • rádiofrekvenčné pásmo: 87,5-108,0 MHz 
 • množstvo uložených rádiových staníc: 18 ks 
 • FM RDS rádio: nie 
 • organizovanie knižnice/krokovanie: áno 
 • pripojiteľné zariadenie: USB / SD 
 • audio kompatibilita: MP3 
 • AUX vstup: Ø 35 mm 
 • príslušenstvo: diaľkový ovládač (CR2025 gombíková batéria, je príslušenstvom) 
 • rozmery: 178 x 50 x 125 mm 
 • hmotnosť: 400 g</t>
        </is>
      </c>
    </row>
    <row r="1276">
      <c r="A1276" s="3" t="inlineStr">
        <is>
          <t>VB X800i</t>
        </is>
      </c>
      <c r="B1276" s="2" t="inlineStr">
        <is>
          <t>Autorádio a multimediálny prehrávač</t>
        </is>
      </c>
      <c r="C1276" s="1" t="n">
        <v>193.9</v>
      </c>
      <c r="D1276" s="7" t="n">
        <f>HYPERLINK("https://www.somogyi.sk/product/autoradio-a-multimedialny-prehravac-vb-x800i-16591","https://www.somogyi.sk/product/autoradio-a-multimedialny-prehravac-vb-x800i-16591")</f>
        <v>0.0</v>
      </c>
      <c r="E1276" s="7" t="n">
        <f>HYPERLINK("https://www.somogyi.sk/productimages/product_main_images/small/16591.jpg","https://www.somogyi.sk/productimages/product_main_images/small/16591.jpg")</f>
        <v>0.0</v>
      </c>
      <c r="F1276" s="2" t="inlineStr">
        <is>
          <t>5999084946234</t>
        </is>
      </c>
      <c r="G1276" s="4" t="inlineStr">
        <is>
          <t xml:space="preserve"> • LCD displej: 7,0” (18 cm) LCD dotyková obrazovka s pamäťou pozície na motorový pohon 
 • výstupný výkon: 4 x 50 W 
 • hodiny: áno 
 • bezdrôtové BT spojenie: 2.1 + EDR / max. 5 m • Bluetooth 2.402-2.480 GHz ERP ≤2.5 mW 
 • informácie o programoch: áno 
 • odstrániteľný čelný panel, s puzdrom: nie 
 • rádiofrekvenčné pásmo: AM / FM 
 • množstvo uložených rádiových staníc: 18 ks FM / 12 ks AM 
 • FM RDS rádio: áno 
 • RDS služba: áno 
 • organizovanie knižnice/krokovanie: áno 
 • pripojiteľné zariadenie: USB / microSD, (max. 32 GB) 
 • skrytá zásuvka pre pamäťovú kartu: nie 
 • video kompatibilita: MKV; AVI; MOV / MP4;TS;ASF; FLV; PMP; RMVB; MPG / VOB 
 • audio kompatibilita: MP3; WMA; OGG; FLAC; APE; AAC; AC3; DTS 
 • obrázková kompatibilita: JPEG; BMP; GIF; PNG 
 • video výstup: 2 x RCA 
 • video vstup: 2 1x RCA 
 • dedikovaná prípojka pre parkovací senzor: áno 
 • audio výstup: 2 1xRCA zosilňovač výstup aktívneho basového reproboxu 
 • audio vstup: 2 x RCA 
 • AUX vstup: Ø3,5 mm 
 • ISO prípojka: áno 
 • príslušenstvo: diaľkový ovládač(CR2025, je príslušenstvom), štipcový mikrofón, ISO prípojka 
 • hmotnosť: 1,75 kg</t>
        </is>
      </c>
    </row>
    <row r="1277">
      <c r="A1277" s="3" t="inlineStr">
        <is>
          <t>VB X1000</t>
        </is>
      </c>
      <c r="B1277" s="2" t="inlineStr">
        <is>
          <t>Autorádio, 1xDIN, 9", Android Auto, Carplay</t>
        </is>
      </c>
      <c r="C1277" s="1" t="n">
        <v>225.9</v>
      </c>
      <c r="D1277" s="7" t="n">
        <f>HYPERLINK("https://www.somogyi.sk/product/autoradio-1xdin-9-android-auto-carplay-vb-x1000-18277","https://www.somogyi.sk/product/autoradio-1xdin-9-android-auto-carplay-vb-x1000-18277")</f>
        <v>0.0</v>
      </c>
      <c r="E1277" s="7" t="n">
        <f>HYPERLINK("https://www.somogyi.sk/productimages/product_main_images/small/18277.jpg","https://www.somogyi.sk/productimages/product_main_images/small/18277.jpg")</f>
        <v>0.0</v>
      </c>
      <c r="F1277" s="2" t="inlineStr">
        <is>
          <t>5999084962999</t>
        </is>
      </c>
      <c r="G1277" s="4" t="inlineStr">
        <is>
          <t xml:space="preserve"> • LCD displej: (16:9) 9” HD / 1024x600 / HQ TFT LCD 
 • výstupný výkon: 4 x 45 W 
 • hodiny: áno 
 • bezdrôtové BT spojenie: v4.0 /~5m • Bluetooth 2.402-2.480 GHz ERP ≤2.5 mW 
 • informácie o programoch: áno 
 • rádiofrekvenčné pásmo: AM / FM 
 • množstvo uložených rádiových staníc: 18 FM / 12 AM 
 • FM RDS rádio: áno 
 • organizovanie knižnice/krokovanie: áno 
 • pripojiteľné zariadenie: USB / microSD (max.64 GB) 
 • skrytá zásuvka pre pamäťovú kartu: áno 
 • video kompatibilita: MPEG-1/2/4, AVI, DivX, Xvid, MKV, MJPEG, MOV, m2ts, Mpeg.ts, H263, H264, VC1, RM, RMVB, DVD (VOB), VCD (DAT), FLV, 3GP, SWF, ASF, VP8, AVS stream… 
 • audio kompatibilita: MP3, WMA, WAV, FLAC, APE, AAC, OGG, 24bit-192kHz WAV… 
 • obrázková kompatibilita: JPG, BMP, GIF, PNG… 
 • video výstup: 1 x RCA 
 • video vstup: 2 x RCA 
 • dedikovaná prípojka pre parkovací senzor: áno 
 • AUX vstup: Ø3,5 mm 
 • výstup pre zosilňovač/subwoofer: 2 1 x RCA výstup pre zosilňovač   aktívny basový reproduktor 
 • ISO prípojka: áno 
 •  
 • charakteristiky: vstavaný a štipcový externý mikrofón • 16-pásmový grafický ekvalizér • možnosť zadného monitora pre pasažierov 
 • hmotnosť: 0,96 kg</t>
        </is>
      </c>
    </row>
    <row r="1278">
      <c r="A1278" s="3" t="inlineStr">
        <is>
          <t>VB 2300</t>
        </is>
      </c>
      <c r="B1278" s="2" t="inlineStr">
        <is>
          <t>Autorádio, SMART, BT-FM-USB-mSD-AUX</t>
        </is>
      </c>
      <c r="C1278" s="1" t="n">
        <v>28.99</v>
      </c>
      <c r="D1278" s="7" t="n">
        <f>HYPERLINK("https://www.somogyi.sk/product/autoradio-smart-bt-fm-usb-msd-aux-vb-2300-18060","https://www.somogyi.sk/product/autoradio-smart-bt-fm-usb-msd-aux-vb-2300-18060")</f>
        <v>0.0</v>
      </c>
      <c r="E1278" s="7" t="n">
        <f>HYPERLINK("https://www.somogyi.sk/productimages/product_main_images/small/18060.jpg","https://www.somogyi.sk/productimages/product_main_images/small/18060.jpg")</f>
        <v>0.0</v>
      </c>
      <c r="F1278" s="2" t="inlineStr">
        <is>
          <t>5999084960827</t>
        </is>
      </c>
      <c r="G1278" s="4" t="inlineStr">
        <is>
          <t xml:space="preserve"> • výstupný výkon: 4 x 45 W 
 • hodiny: áno 
 • informácie o programoch: áno 
 • rádiofrekvenčné pásmo: 87,5-107,9 MHz 
 • množstvo uložených rádiových staníc: 18 FM 
 • organizovanie knižnice/krokovanie: áno 
 • pripojiteľné zariadenie: USB / microSD / AUX 
 • audio kompatibilita: MP3, WMA, FLAC, APE, WAV 
 • AUX vstup: Ø3,5 mm jack 
 • výstup pre zosilňovač/subwoofer: 4 x RCA 
 • ISO prípojka: áno 
 • charakteristiky: telefón sa stane rozšíreným displejom rádia • plnohodnotné rádio aj bez smartfónu • volanie bez dotyku telefónu • vyzváňací tón a rozhovor cez reproduktory auta • zobrazenie telefónneho čísla na displeji odmietnutie / prijatie / ukončenie hovoru / vytáčanie posledné číslo • výborne čitateľný biely, textový displej • zobrazenie presného času stlačením tlačidla • samostatná USB zásuvka pre nabíjanie 
 • rozmery: 178 x 50 x 128 mm 
 • hmotnosť: 350 g</t>
        </is>
      </c>
    </row>
    <row r="1279">
      <c r="A1279" s="3" t="inlineStr">
        <is>
          <t>VB 4000</t>
        </is>
      </c>
      <c r="B1279" s="2" t="inlineStr">
        <is>
          <t>Autorádio; BT-FM RDS-USB-SD-AUX</t>
        </is>
      </c>
      <c r="C1279" s="1" t="n">
        <v>53.99</v>
      </c>
      <c r="D1279" s="7" t="n">
        <f>HYPERLINK("https://www.somogyi.sk/product/autoradio-bt-fm-rds-usb-sd-aux-vb-4000-16287","https://www.somogyi.sk/product/autoradio-bt-fm-rds-usb-sd-aux-vb-4000-16287")</f>
        <v>0.0</v>
      </c>
      <c r="E1279" s="7" t="n">
        <f>HYPERLINK("https://www.somogyi.sk/productimages/product_main_images/small/16287.jpg","https://www.somogyi.sk/productimages/product_main_images/small/16287.jpg")</f>
        <v>0.0</v>
      </c>
      <c r="F1279" s="2" t="inlineStr">
        <is>
          <t>5999084943196</t>
        </is>
      </c>
      <c r="G1279" s="4" t="inlineStr">
        <is>
          <t xml:space="preserve"> • výstupný výkon: 4 x 45 W 
 • hodiny: áno 
 • bezdrôtové BT spojenie: v2.1 + EDR / max.5 m • Bluetooth 2.402-2.480 GHz ERP ≤2.5 mW 
 • informácie o programoch: zobrazenie MP3 „iD3 Tag” informácií 
 • odstrániteľný čelný panel, s puzdrom: nie 
 • rádiofrekvenčné pásmo: FM 
 • množstvo uložených rádiových staníc: 18 ks 
 • FM RDS rádio: áno 
 • RDS služba: áno 
 • organizovanie knižnice/krokovanie: áno 
 • pripojiteľné zariadenie: USB / SD / AUX 
 • skrytá zásuvka pre pamäťovú kartu: nie 
 • video kompatibilita: nie 
 • audio kompatibilita: MP3 / WMA 
 • AUX vstup: Ø3,5 mm 
 • výstup pre zosilňovač/subwoofer: 4 x RCA 
 • ISO prípojka: áno 
 • príslušenstvo: diaľkový ovládač (1 x 3 V (CR2025) gombíková batéria, je príslušenstvom 
 • rozmery: 178 x 50 x 120 mm 
 • hmotnosť: 410 g 
 • ďalšie informácie: 2in1: zabudovaný a štipcový externý mikrofón (1,8 m)</t>
        </is>
      </c>
    </row>
    <row r="1280">
      <c r="A1280" s="6" t="inlineStr">
        <is>
          <t xml:space="preserve">   Zvuková technika / Zosilňovač do auta</t>
        </is>
      </c>
      <c r="B1280" s="6" t="inlineStr">
        <is>
          <t/>
        </is>
      </c>
      <c r="C1280" s="6" t="inlineStr">
        <is>
          <t/>
        </is>
      </c>
      <c r="D1280" s="6" t="inlineStr">
        <is>
          <t/>
        </is>
      </c>
      <c r="E1280" s="6" t="inlineStr">
        <is>
          <t/>
        </is>
      </c>
      <c r="F1280" s="6" t="inlineStr">
        <is>
          <t/>
        </is>
      </c>
      <c r="G1280" s="6" t="inlineStr">
        <is>
          <t/>
        </is>
      </c>
    </row>
    <row r="1281">
      <c r="A1281" s="3" t="inlineStr">
        <is>
          <t>SBF 2025</t>
        </is>
      </c>
      <c r="B1281" s="2" t="inlineStr">
        <is>
          <t>Univerzálny zosilňovač do auta, 2 pásmové, 4ohm, 50W</t>
        </is>
      </c>
      <c r="C1281" s="1" t="n">
        <v>30.99</v>
      </c>
      <c r="D1281" s="7" t="n">
        <f>HYPERLINK("https://www.somogyi.sk/product/univerzalny-zosilnovac-do-auta-2-pasmove-4ohm-50w-sbf-2025-4741","https://www.somogyi.sk/product/univerzalny-zosilnovac-do-auta-2-pasmove-4ohm-50w-sbf-2025-4741")</f>
        <v>0.0</v>
      </c>
      <c r="E1281" s="7" t="n">
        <f>HYPERLINK("https://www.somogyi.sk/productimages/product_main_images/small/04741.jpg","https://www.somogyi.sk/productimages/product_main_images/small/04741.jpg")</f>
        <v>0.0</v>
      </c>
      <c r="F1281" s="2" t="inlineStr">
        <is>
          <t>5998312741856</t>
        </is>
      </c>
      <c r="G1281" s="4" t="inlineStr">
        <is>
          <t xml:space="preserve"> • počet kanálov: 2 
 • výstupný výkon: 2 x 25 W 
 • impedancia reproduktora: 2 x 4 Ω 
 • režim výhybky: 3 typy: basové / stredobasové + výškové / širokopásmové 
 • regulovateľná hlasitosť: áno 
 • nízkoúrovňový vstup: áno 
 • vysoko úrovňový vstup: áno 
 • LED kontrolka: áno 
 • pozlátená prípojka: áno 
 • príslušenstvo: 3 typy prípojok 
 • rozmery: 65 x 40 x 100 mm 
 • ďalšie informácie: zapojenie výškového vstupu v poradí zhora nadol: pravá + / pravá - / ľavá - / ľavá +</t>
        </is>
      </c>
    </row>
    <row r="1282">
      <c r="A1282" s="6" t="inlineStr">
        <is>
          <t xml:space="preserve">   Zvuková technika / FM modulátor, bezdrôtové BT spojenie</t>
        </is>
      </c>
      <c r="B1282" s="6" t="inlineStr">
        <is>
          <t/>
        </is>
      </c>
      <c r="C1282" s="6" t="inlineStr">
        <is>
          <t/>
        </is>
      </c>
      <c r="D1282" s="6" t="inlineStr">
        <is>
          <t/>
        </is>
      </c>
      <c r="E1282" s="6" t="inlineStr">
        <is>
          <t/>
        </is>
      </c>
      <c r="F1282" s="6" t="inlineStr">
        <is>
          <t/>
        </is>
      </c>
      <c r="G1282" s="6" t="inlineStr">
        <is>
          <t/>
        </is>
      </c>
    </row>
    <row r="1283">
      <c r="A1283" s="3" t="inlineStr">
        <is>
          <t>BTRC 30</t>
        </is>
      </c>
      <c r="B1283" s="2" t="inlineStr">
        <is>
          <t>Bezdrótový BT adaptér</t>
        </is>
      </c>
      <c r="C1283" s="1" t="n">
        <v>8.99</v>
      </c>
      <c r="D1283" s="7" t="n">
        <f>HYPERLINK("https://www.somogyi.sk/product/bezdrotovy-bt-adapter-btrc-30-17095","https://www.somogyi.sk/product/bezdrotovy-bt-adapter-btrc-30-17095")</f>
        <v>0.0</v>
      </c>
      <c r="E1283" s="7" t="n">
        <f>HYPERLINK("https://www.somogyi.sk/productimages/product_main_images/small/17095.jpg","https://www.somogyi.sk/productimages/product_main_images/small/17095.jpg")</f>
        <v>0.0</v>
      </c>
      <c r="F1283" s="2" t="inlineStr">
        <is>
          <t>5999084951276</t>
        </is>
      </c>
      <c r="G1283" s="4" t="inlineStr">
        <is>
          <t xml:space="preserve"> • pripojiteľné zariadenie: Ø3,5 mm, jack vidlica 
 • automatické pripojenie: áno 
 • príslušenstvo: 3,5 mm/3,5 mm audio kábel, (~1,0 m) 
 • rozmery: 20 x 33 x 10 mm 
 • ďalšie informácie: prepínateľný BT prijímač alebo BT vysielač • bezdrôtové stereo prehrávanie hudby • možno spárovať súčasne iba s jedným BT zariadením</t>
        </is>
      </c>
    </row>
    <row r="1284">
      <c r="A1284" s="3" t="inlineStr">
        <is>
          <t>FMBT MIC</t>
        </is>
      </c>
      <c r="B1284" s="2" t="inlineStr">
        <is>
          <t>Headset a nabíjačka do auta</t>
        </is>
      </c>
      <c r="C1284" s="1" t="n">
        <v>28.99</v>
      </c>
      <c r="D1284" s="7" t="n">
        <f>HYPERLINK("https://www.somogyi.sk/product/headset-a-nabijacka-do-auta-fmbt-mic-17281","https://www.somogyi.sk/product/headset-a-nabijacka-do-auta-fmbt-mic-17281")</f>
        <v>0.0</v>
      </c>
      <c r="E1284" s="7" t="n">
        <f>HYPERLINK("https://www.somogyi.sk/productimages/product_main_images/small/17281.jpg","https://www.somogyi.sk/productimages/product_main_images/small/17281.jpg")</f>
        <v>0.0</v>
      </c>
      <c r="F1284" s="2" t="inlineStr">
        <is>
          <t>5999084953034</t>
        </is>
      </c>
      <c r="G1284" s="4" t="inlineStr">
        <is>
          <t xml:space="preserve"> • prevádzková frekvencia: 87,5 - 107,9 MHz 
 • displej: LED displej 
 • USB nabíjacia zásuvka: 2,4A   1,0A 
 • pripojiteľné zariadenie: USB / microSD, (FAT32, max. 64 GB) 
 • audio kompatibilita: MP3 / WMA / WAV / FLAC 
 • hlasný odposluch telefónu: áno 
 • funkcia prehrávania hudby: prehrávanie, pauza, krokovanie, hlasitosť 
 • automatické pripojenie: áno 
 • napájanie: 12 - 24 V DC (prípojka do autozapalovača) 
 • BT: Bluetooth 2.402-2.480 GHz ERP ≤2.5 mW (v5.0 / 10 m max.) 
 • ďalšie informácie: 5in1: BT ozvučenie   FM modulátor   dvojitá USB rýchlonabíjačka   prehrávač hudby   akumulátor Voltmeter  • Aktivovanie zvukového asistenta (Siri/Google Assistant)</t>
        </is>
      </c>
    </row>
    <row r="1285">
      <c r="A1285" s="3" t="inlineStr">
        <is>
          <t>FMBT 280</t>
        </is>
      </c>
      <c r="B1285" s="2" t="inlineStr">
        <is>
          <t>FM modulátor a Bluetooth</t>
        </is>
      </c>
      <c r="C1285" s="1" t="n">
        <v>15.99</v>
      </c>
      <c r="D1285" s="7" t="n">
        <f>HYPERLINK("https://www.somogyi.sk/product/fm-modulator-a-bluetooth-fmbt-280-17986","https://www.somogyi.sk/product/fm-modulator-a-bluetooth-fmbt-280-17986")</f>
        <v>0.0</v>
      </c>
      <c r="E1285" s="7" t="n">
        <f>HYPERLINK("https://www.somogyi.sk/productimages/product_main_images/small/17986.jpg","https://www.somogyi.sk/productimages/product_main_images/small/17986.jpg")</f>
        <v>0.0</v>
      </c>
      <c r="F1285" s="2" t="inlineStr">
        <is>
          <t>5999084960087</t>
        </is>
      </c>
      <c r="G1285" s="4" t="inlineStr">
        <is>
          <t xml:space="preserve"> • prevádzková frekvencia: 88,1 - 107,9 MHz 
 •  
 • audio kompatibilita: MP3 / WMA 
 • EQ nastavenia: 6 druhov (CLA, CUT, NOR, POP, ROC, JAZ) tónov 
 • sklopiteľná ovládacia plocha: áno 
 • hlasný odposluch telefónu: áno 
 •  
 • automatické pripojenie: áno 
 • napájanie: 12 - 24 V DC</t>
        </is>
      </c>
    </row>
    <row r="1286">
      <c r="A1286" s="3" t="inlineStr">
        <is>
          <t>BTRC 1000</t>
        </is>
      </c>
      <c r="B1286" s="2" t="inlineStr">
        <is>
          <t>Bluetooth prijímací - vysielací adaptér, 5in1</t>
        </is>
      </c>
      <c r="C1286" s="1" t="n">
        <v>42.99</v>
      </c>
      <c r="D1286" s="7" t="n">
        <f>HYPERLINK("https://www.somogyi.sk/product/bluetooth-prijimaci-vysielaci-adapter-5in1-btrc-1000-18188","https://www.somogyi.sk/product/bluetooth-prijimaci-vysielaci-adapter-5in1-btrc-1000-18188")</f>
        <v>0.0</v>
      </c>
      <c r="E1286" s="7" t="n">
        <f>HYPERLINK("https://www.somogyi.sk/productimages/product_main_images/small/18188.jpg","https://www.somogyi.sk/productimages/product_main_images/small/18188.jpg")</f>
        <v>0.0</v>
      </c>
      <c r="F1286" s="2" t="inlineStr">
        <is>
          <t>5999084962104</t>
        </is>
      </c>
      <c r="G1286" s="4" t="inlineStr">
        <is>
          <t xml:space="preserve"> • pripojiteľné zariadenie: ∅3,5 mm analógový výstup a vstup, optický digitálny výstup a vstup Toslink</t>
        </is>
      </c>
    </row>
    <row r="1287">
      <c r="A1287" s="3" t="inlineStr">
        <is>
          <t>FMT 104</t>
        </is>
      </c>
      <c r="B1287" s="2" t="inlineStr">
        <is>
          <t>FM modulátor a nabíjačka, 500mA</t>
        </is>
      </c>
      <c r="C1287" s="1" t="n">
        <v>6.69</v>
      </c>
      <c r="D1287" s="7" t="n">
        <f>HYPERLINK("https://www.somogyi.sk/product/fm-modulator-a-nabijacka-500ma-fmt-104-16907","https://www.somogyi.sk/product/fm-modulator-a-nabijacka-500ma-fmt-104-16907")</f>
        <v>0.0</v>
      </c>
      <c r="E1287" s="7" t="n">
        <f>HYPERLINK("https://www.somogyi.sk/productimages/product_main_images/small/16907.jpg","https://www.somogyi.sk/productimages/product_main_images/small/16907.jpg")</f>
        <v>0.0</v>
      </c>
      <c r="F1287" s="2" t="inlineStr">
        <is>
          <t>5999084949396</t>
        </is>
      </c>
      <c r="G1287" s="4" t="inlineStr">
        <is>
          <t xml:space="preserve"> • prevádzková frekvencia: 88,1 - 107,9 MHz 
 • displej: LCD 
 • USB nabíjacia zásuvka: max. 0,5 A 
 • pripojiteľné zariadenie: USB / SD / microSD (max. 16 GB / FAT 32) 
 • audio kompatibilita: MP3 / WMA 
 • organizovanie knižnice/krokovanie: áno 
 • opakovanie skladby/ knižnice, náhodné poradie: áno 
 • EQ nastavenia: 6 nastavení zvuku 
 • sklopiteľná ovládacia plocha: áno 
 • napájanie: 12 V DC (zásuvka autozapaľovača)</t>
        </is>
      </c>
    </row>
    <row r="1288">
      <c r="A1288" s="3" t="inlineStr">
        <is>
          <t>FMBT 18RGB</t>
        </is>
      </c>
      <c r="B1288" s="2" t="inlineStr">
        <is>
          <t>FM modulátor a Bluetooth</t>
        </is>
      </c>
      <c r="C1288" s="1" t="n">
        <v>28.99</v>
      </c>
      <c r="D1288" s="7" t="n">
        <f>HYPERLINK("https://www.somogyi.sk/product/fm-modulator-a-bluetooth-fmbt-18rgb-18106","https://www.somogyi.sk/product/fm-modulator-a-bluetooth-fmbt-18rgb-18106")</f>
        <v>0.0</v>
      </c>
      <c r="E1288" s="7" t="n">
        <f>HYPERLINK("https://www.somogyi.sk/productimages/product_main_images/small/18106.jpg","https://www.somogyi.sk/productimages/product_main_images/small/18106.jpg")</f>
        <v>0.0</v>
      </c>
      <c r="F1288" s="2" t="inlineStr">
        <is>
          <t>5999084961282</t>
        </is>
      </c>
      <c r="G1288" s="4" t="inlineStr">
        <is>
          <t xml:space="preserve"> • prevádzková frekvencia: 87,6 - 107,9 MHz 
 •  
 • audio kompatibilita: MP3 / WMA / WAV / FLAC 
 • hlasný odposluch telefónu: áno 
 •  
 • automatické pripojenie: áno 
 • funkcie: 5v1: BT handsfree   FM modulátor   dvojitá USB rýchlonabíjačka   hudobný prehrávač   voltmeter akumulátorov 
 • napájanie: 12/24 V DC 
 • BT: Bluetooth 2.402-2.480 GHz ERP ≤2.5 mW (v5.1, 10 m max.) 
 • charakteristiky: vstavaný merač napätia akumulátora • RGB svetelné efekty (možno vypnúť) • pohodlná manipulácia pomocou otočného gombíka</t>
        </is>
      </c>
    </row>
    <row r="1289">
      <c r="A1289" s="3" t="inlineStr">
        <is>
          <t>BTRC 100</t>
        </is>
      </c>
      <c r="B1289" s="2" t="inlineStr">
        <is>
          <t>BT adaptér</t>
        </is>
      </c>
      <c r="C1289" s="1" t="n">
        <v>28.99</v>
      </c>
      <c r="D1289" s="7" t="n">
        <f>HYPERLINK("https://www.somogyi.sk/product/bt-adapter-btrc-100-15490","https://www.somogyi.sk/product/bt-adapter-btrc-100-15490")</f>
        <v>0.0</v>
      </c>
      <c r="E1289" s="7" t="n">
        <f>HYPERLINK("https://www.somogyi.sk/productimages/product_main_images/small/15490.jpg","https://www.somogyi.sk/productimages/product_main_images/small/15490.jpg")</f>
        <v>0.0</v>
      </c>
      <c r="F1289" s="2" t="inlineStr">
        <is>
          <t>5999084935245</t>
        </is>
      </c>
      <c r="G1289" s="4" t="inlineStr">
        <is>
          <t xml:space="preserve"> • pripojiteľné zariadenie: vysielač: Ø3,5 mm stereo jack vidlica / prijímač: Ø3,5 mm stereo jack vidlica 
 • automatické pripojenie: áno 
 • automatická pohotovosť: áno 
 • príslušenstvo: USB – microUSB kábel / Ø3,5 mm - Ø3,5 mm kábel /  Ø3,5 mm kábel – 2 x RCA kábel 
 • napájanie: zabudovaný akumulátor 
 • BT: BT prijímač v4.1 stereo, BT vysielač v2.1 mono (max.10 m) • Bluetooth 2.402-2.480 GHz ERP ≤2.5 mW 
 • ďalšie informácie: Možnosť použiť naraz len jeden režim! Zmena režimu (vysielač / prijímač) nastane automaticky po pripojení kábla (Ø3,5 mm vidlica).</t>
        </is>
      </c>
    </row>
    <row r="1290">
      <c r="A1290" s="3" t="inlineStr">
        <is>
          <t>FMBT HIFI</t>
        </is>
      </c>
      <c r="B1290" s="2" t="inlineStr">
        <is>
          <t>Handsfree a nabíjačka do auta</t>
        </is>
      </c>
      <c r="C1290" s="1" t="n">
        <v>36.99</v>
      </c>
      <c r="D1290" s="7" t="n">
        <f>HYPERLINK("https://www.somogyi.sk/product/handsfree-a-nabijacka-do-auta-fmbt-hifi-17750","https://www.somogyi.sk/product/handsfree-a-nabijacka-do-auta-fmbt-hifi-17750")</f>
        <v>0.0</v>
      </c>
      <c r="E1290" s="7" t="n">
        <f>HYPERLINK("https://www.somogyi.sk/productimages/product_main_images/small/17750.jpg","https://www.somogyi.sk/productimages/product_main_images/small/17750.jpg")</f>
        <v>0.0</v>
      </c>
      <c r="F1290" s="2" t="inlineStr">
        <is>
          <t>5999084957728</t>
        </is>
      </c>
      <c r="G1290" s="4" t="inlineStr">
        <is>
          <t xml:space="preserve"> • prevádzková frekvencia: 87,5 - 108 MHz 
 • USB nabíjacia zásuvka: dvojitá USB rýchlonabíjačka: QC3.0   5 V / 1.0 A (23 W) 
 • audio kompatibilita: MP3, WMA, WAV, FLAC, APE 
 • organizovanie knižnice/krokovanie: áno 
 • opakovanie skladby/ knižnice, náhodné poradie: áno 
 • EQ nastavenia: 7 režimov EQ (Natural, Rock, Pop, Classic, Soft, Jazz, Dynamic Bass Boost) a ovládanie vysokých/nízkych tónov 
 • sklopiteľná ovládacia plocha: áno 
 • hlasný odposluch telefónu: áno 
 • zabudovaný mikrofón: áno 
 • funkcia prehrávania hudby: prehrávanie, pauza, krokovanie, hlasitosť 
 • automatické pripojenie: áno 
 • napájanie: 12 V DC (prípojka autozapaľovača) 
 • rozmery: control panel: 41 x 84 mm 
 • BT: v5.0 / 8 m max.• Bluetooth 2.402-2.480 GHz ERP ≤2.5 mW 
 • ďalšie informácie: 5v1: BT hlasitý odposluch, FM modulátor, dvojitá USB nabíjačka, hudobný prehrávač, voltmeter do auta • skutočný 19-pásmový spektrálny analyzátor • kvalitný D/A prevodník a šumový filter • vstavaný šumový filter „ground loop“ • textová informácia o skladbe • prehľadný, viacjazyčné menu (EN , HU, SK, RO) • zvukové hlásenie telefónneho čísla (anglicky) a zobrazenie na displeji • môžete skontrolovať stav autobatérie</t>
        </is>
      </c>
    </row>
    <row r="1291">
      <c r="A1291" s="6" t="inlineStr">
        <is>
          <t xml:space="preserve">   Zvuková technika / Videotechnika do auta</t>
        </is>
      </c>
      <c r="B1291" s="6" t="inlineStr">
        <is>
          <t/>
        </is>
      </c>
      <c r="C1291" s="6" t="inlineStr">
        <is>
          <t/>
        </is>
      </c>
      <c r="D1291" s="6" t="inlineStr">
        <is>
          <t/>
        </is>
      </c>
      <c r="E1291" s="6" t="inlineStr">
        <is>
          <t/>
        </is>
      </c>
      <c r="F1291" s="6" t="inlineStr">
        <is>
          <t/>
        </is>
      </c>
      <c r="G1291" s="6" t="inlineStr">
        <is>
          <t/>
        </is>
      </c>
    </row>
    <row r="1292">
      <c r="A1292" s="3" t="inlineStr">
        <is>
          <t>CHDHX-101-RW</t>
        </is>
      </c>
      <c r="B1292" s="2" t="inlineStr">
        <is>
          <t>H10 BLACK (GoPro Hero 10)</t>
        </is>
      </c>
      <c r="C1292" s="1" t="n">
        <v>491.9</v>
      </c>
      <c r="D1292" s="7" t="n">
        <f>HYPERLINK("https://www.somogyi.sk/product/h10-black-gopro-hero-10-chdhx-101-rw-18278","https://www.somogyi.sk/product/h10-black-gopro-hero-10-chdhx-101-rw-18278")</f>
        <v>0.0</v>
      </c>
      <c r="E1292" s="7" t="n">
        <f>HYPERLINK("https://www.somogyi.sk/productimages/product_main_images/small/18278.jpg","https://www.somogyi.sk/productimages/product_main_images/small/18278.jpg")</f>
        <v>0.0</v>
      </c>
      <c r="F1292" s="2" t="inlineStr">
        <is>
          <t>818279027228</t>
        </is>
      </c>
      <c r="G1292" s="4" t="inlineStr">
        <is>
          <t xml:space="preserve"> • rozlíšenie: full HD (1920 x 1080) 
 • farebný LCD displej: 2.27 inch” 
 • zabudovaný mikrofón: áno 
 • zabudovaný reproduktor: áno 
 • video kompatibilita: H.264 , MP4 , H.265 
 • wifi: áno 
 • A/V výstup: HDMI 
 • USB prípojka: áno 
 • zabudovaný akumulátor: 1720 mAh 
 • rozmery: 71.8 x 33.6 x 50.8 mm 
 • hmotnosť: 153 g</t>
        </is>
      </c>
    </row>
    <row r="1293">
      <c r="A1293" s="3" t="inlineStr">
        <is>
          <t>SA 143</t>
        </is>
      </c>
      <c r="B1293" s="2" t="inlineStr">
        <is>
          <t>Parkovacia kamera</t>
        </is>
      </c>
      <c r="C1293" s="1" t="n">
        <v>14.99</v>
      </c>
      <c r="D1293" s="7" t="n">
        <f>HYPERLINK("https://www.somogyi.sk/product/parkovacia-kamera-sa-143-16155","https://www.somogyi.sk/product/parkovacia-kamera-sa-143-16155")</f>
        <v>0.0</v>
      </c>
      <c r="E1293" s="7" t="n">
        <f>HYPERLINK("https://www.somogyi.sk/productimages/product_main_images/small/16155.jpg","https://www.somogyi.sk/productimages/product_main_images/small/16155.jpg")</f>
        <v>0.0</v>
      </c>
      <c r="F1293" s="2" t="inlineStr">
        <is>
          <t>5999084941871</t>
        </is>
      </c>
      <c r="G1293" s="4" t="inlineStr">
        <is>
          <t xml:space="preserve"> • farba: čierna 
 • rozlíšenie: 420 TV rad 
 • zorný uhol: 150° 
 • A/V výstup: video: 1 Vp-p, 75 Ω (RCA) 
 • upevnenie: skrutkovaním 
 • napájanie: 12 V DC 
 • rozmery: ∅18 x21 mm</t>
        </is>
      </c>
    </row>
    <row r="1294">
      <c r="A1294" s="6" t="inlineStr">
        <is>
          <t xml:space="preserve">   Zvuková technika / Subwoofer, subwoofer tuba</t>
        </is>
      </c>
      <c r="B1294" s="6" t="inlineStr">
        <is>
          <t/>
        </is>
      </c>
      <c r="C1294" s="6" t="inlineStr">
        <is>
          <t/>
        </is>
      </c>
      <c r="D1294" s="6" t="inlineStr">
        <is>
          <t/>
        </is>
      </c>
      <c r="E1294" s="6" t="inlineStr">
        <is>
          <t/>
        </is>
      </c>
      <c r="F1294" s="6" t="inlineStr">
        <is>
          <t/>
        </is>
      </c>
      <c r="G1294" s="6" t="inlineStr">
        <is>
          <t/>
        </is>
      </c>
    </row>
    <row r="1295">
      <c r="A1295" s="3" t="inlineStr">
        <is>
          <t>BS 10</t>
        </is>
      </c>
      <c r="B1295" s="2" t="inlineStr">
        <is>
          <t>Subwoofer</t>
        </is>
      </c>
      <c r="C1295" s="1" t="n">
        <v>53.99</v>
      </c>
      <c r="D1295" s="7" t="n">
        <f>HYPERLINK("https://www.somogyi.sk/product/subwoofer-bs-10-14179","https://www.somogyi.sk/product/subwoofer-bs-10-14179")</f>
        <v>0.0</v>
      </c>
      <c r="E1295" s="7" t="n">
        <f>HYPERLINK("https://www.somogyi.sk/productimages/product_main_images/small/14179.jpg","https://www.somogyi.sk/productimages/product_main_images/small/14179.jpg")</f>
        <v>0.0</v>
      </c>
      <c r="F1295" s="2" t="inlineStr">
        <is>
          <t>5999084922276</t>
        </is>
      </c>
      <c r="G1295" s="4" t="inlineStr">
        <is>
          <t xml:space="preserve"> • zabudovaný zosilňovač: nie 
 • výkon: 150 / 100 W 
 • regulovateľná výhybka: nie 
 • frekvenčné pásmo: 35 - 3500 Hz 
 • regulátor hlasitosti: nie 
 • nízkoúrovňový vstup: nie 
 • vysoko úrovňový vstup: nie 
 • diaľkovo ovládateľné za-/vypnutie: nie 
 • priemer reproduktora: 250 mm 
 • materiál kónusu: polypropylén 
 • impedancia reproduktora: 4 Ω 
 • mriežka na reproduktor: nie 
 • prevedenie reproboxu: dynamic-bass, uzavretá konštrukcia 
 • rozmery: 355 x 300 x 180 mm</t>
        </is>
      </c>
    </row>
    <row r="1296">
      <c r="A1296" s="3" t="inlineStr">
        <is>
          <t>BS 10/A</t>
        </is>
      </c>
      <c r="B1296" s="2" t="inlineStr">
        <is>
          <t>Aktívny subwoofer, uzavretý, 250 mm, 4 ohm, 200 W</t>
        </is>
      </c>
      <c r="C1296" s="1" t="n">
        <v>95.99</v>
      </c>
      <c r="D1296" s="7" t="n">
        <f>HYPERLINK("https://www.somogyi.sk/product/aktivny-subwoofer-uzavrety-250-mm-4-ohm-200-w-bs-10-a-14180","https://www.somogyi.sk/product/aktivny-subwoofer-uzavrety-250-mm-4-ohm-200-w-bs-10-a-14180")</f>
        <v>0.0</v>
      </c>
      <c r="E1296" s="7" t="n">
        <f>HYPERLINK("https://www.somogyi.sk/productimages/product_main_images/small/14180.jpg","https://www.somogyi.sk/productimages/product_main_images/small/14180.jpg")</f>
        <v>0.0</v>
      </c>
      <c r="F1296" s="2" t="inlineStr">
        <is>
          <t>5999084922283</t>
        </is>
      </c>
      <c r="G1296" s="4" t="inlineStr">
        <is>
          <t xml:space="preserve"> • zabudovaný zosilňovač: áno 
 • výkon: 200 / 150 W 
 • regulovateľná výhybka: áno 
 • frekvenčné pásmo: 20 -  (35) 200 Hz 
 • regulátor hlasitosti: áno 
 • nízkoúrovňový vstup: 2 x RCA zásuvka 
 • vysoko úrovňový vstup: áno 
 • diaľkovo ovládateľné za-/vypnutie: áno 
 • priemer reproduktora: 250 mm 
 • materiál kónusu: polypropylén 
 • impedancia reproduktora: 4 Ω 
 • mriežka na reproduktor: nie 
 • prevedenie reproboxu: uzavretý reprobox 
 • príslušenstvo: prípojka pre vysokoúrovňový vstupný signál (10 cm) 
 • rozmery: 340 x 310 x 280 mm 
 • hmotnosť: 5,45 kg</t>
        </is>
      </c>
    </row>
    <row r="1297">
      <c r="A1297" s="6" t="inlineStr">
        <is>
          <t xml:space="preserve">   Zvuková technika / Autoreproduktor</t>
        </is>
      </c>
      <c r="B1297" s="6" t="inlineStr">
        <is>
          <t/>
        </is>
      </c>
      <c r="C1297" s="6" t="inlineStr">
        <is>
          <t/>
        </is>
      </c>
      <c r="D1297" s="6" t="inlineStr">
        <is>
          <t/>
        </is>
      </c>
      <c r="E1297" s="6" t="inlineStr">
        <is>
          <t/>
        </is>
      </c>
      <c r="F1297" s="6" t="inlineStr">
        <is>
          <t/>
        </is>
      </c>
      <c r="G1297" s="6" t="inlineStr">
        <is>
          <t/>
        </is>
      </c>
    </row>
    <row r="1298">
      <c r="A1298" s="3" t="inlineStr">
        <is>
          <t>BK 130</t>
        </is>
      </c>
      <c r="B1298" s="2" t="inlineStr">
        <is>
          <t>Pár autoreproduktorov, 130mm, dvojitý kónus, 4ohm, 100W</t>
        </is>
      </c>
      <c r="C1298" s="1" t="n">
        <v>19.99</v>
      </c>
      <c r="D1298" s="7" t="n">
        <f>HYPERLINK("https://www.somogyi.sk/product/par-autoreproduktorov-130mm-dvojity-konus-4ohm-100w-bk-130-11833","https://www.somogyi.sk/product/par-autoreproduktorov-130mm-dvojity-konus-4ohm-100w-bk-130-11833")</f>
        <v>0.0</v>
      </c>
      <c r="E1298" s="7" t="n">
        <f>HYPERLINK("https://www.somogyi.sk/productimages/product_main_images/small/11833.jpg","https://www.somogyi.sk/productimages/product_main_images/small/11833.jpg")</f>
        <v>0.0</v>
      </c>
      <c r="F1298" s="2" t="inlineStr">
        <is>
          <t>5999084900458</t>
        </is>
      </c>
      <c r="G1298" s="4" t="inlineStr">
        <is>
          <t xml:space="preserve"> • funkcia/prevedenie: autoreproduktor s dvojitým kónusom 
 • menovitý priemer reproduktora: Ø130 mm 
 • materiál kónusu: stredobasy: papier, výška: PEI 
 • impedancia reproduktora: 4 Ω 
 • zaťažiteľnosť reproduktora: 2 x 50 W 
 • frekvenčné pásmo: 50 - 19000 Hz 
 • citlivosť reproduktora: 86 dB 
 • balenie: pár</t>
        </is>
      </c>
    </row>
    <row r="1299">
      <c r="A1299" s="3" t="inlineStr">
        <is>
          <t>CX 404</t>
        </is>
      </c>
      <c r="B1299" s="2" t="inlineStr">
        <is>
          <t>Pár autoreproduktorov, 100 mm, 2 pásmový, 4 ohm, 110 W</t>
        </is>
      </c>
      <c r="C1299" s="1" t="n">
        <v>25.99</v>
      </c>
      <c r="D1299" s="7" t="n">
        <f>HYPERLINK("https://www.somogyi.sk/product/par-autoreproduktorov-100-mm-2-pasmovy-4-ohm-110-w-cx-404-13028","https://www.somogyi.sk/product/par-autoreproduktorov-100-mm-2-pasmovy-4-ohm-110-w-cx-404-13028")</f>
        <v>0.0</v>
      </c>
      <c r="E1299" s="7" t="n">
        <f>HYPERLINK("https://www.somogyi.sk/productimages/product_main_images/small/13028.jpg","https://www.somogyi.sk/productimages/product_main_images/small/13028.jpg")</f>
        <v>0.0</v>
      </c>
      <c r="F1299" s="2" t="inlineStr">
        <is>
          <t>5999084912093</t>
        </is>
      </c>
      <c r="G1299" s="4" t="inlineStr">
        <is>
          <t xml:space="preserve"> • funkcia/prevedenie: 2-pásmový autoreproduktor 
 • menovitý priemer reproduktora: stredobasy: Ø100 mm, výška: Ø30 mm 
 • materiál kónusu: polypropylén 
 • impedancia reproduktora: 4 Ω 
 • zaťažiteľnosť reproduktora: 2 x 55 W 
 • frekvenčné pásmo: 55 - 20000 Hz 
 • citlivosť reproduktora: 88 dB 
 • zabudovaná výhybka: áno 
 • mriežka na reproduktor: čiastočná 
 • balenie: pár</t>
        </is>
      </c>
    </row>
    <row r="1300">
      <c r="A1300" s="3" t="inlineStr">
        <is>
          <t>CX 504</t>
        </is>
      </c>
      <c r="B1300" s="2" t="inlineStr">
        <is>
          <t>Pár autoreproduktorov, 130 mm, 2 pásmový, 4 ohm, 150 W</t>
        </is>
      </c>
      <c r="C1300" s="1" t="n">
        <v>30.99</v>
      </c>
      <c r="D1300" s="7" t="n">
        <f>HYPERLINK("https://www.somogyi.sk/product/par-autoreproduktorov-130-mm-2-pasmovy-4-ohm-150-w-cx-504-13029","https://www.somogyi.sk/product/par-autoreproduktorov-130-mm-2-pasmovy-4-ohm-150-w-cx-504-13029")</f>
        <v>0.0</v>
      </c>
      <c r="E1300" s="7" t="n">
        <f>HYPERLINK("https://www.somogyi.sk/productimages/product_main_images/small/13029.jpg","https://www.somogyi.sk/productimages/product_main_images/small/13029.jpg")</f>
        <v>0.0</v>
      </c>
      <c r="F1300" s="2" t="inlineStr">
        <is>
          <t>5999084912109</t>
        </is>
      </c>
      <c r="G1300" s="4" t="inlineStr">
        <is>
          <t xml:space="preserve"> • funkcia/prevedenie: 2-pásmový autoreproduktor 
 • menovitý priemer reproduktora: stredobasy: Ø130 mm, výška: Ø30 mm 
 • materiál kónusu: polypropylén 
 • impedancia reproduktora: 4 Ω 
 • zaťažiteľnosť reproduktora: 2 x 75 W 
 • frekvenčné pásmo: 50 - 20000 Hz 
 • citlivosť reproduktora: 89 dB 
 • zabudovaná výhybka: áno 
 • mriežka na reproduktor: čiastočná 
 • balenie: pár</t>
        </is>
      </c>
    </row>
    <row r="1301">
      <c r="A1301" s="3" t="inlineStr">
        <is>
          <t>CX 604</t>
        </is>
      </c>
      <c r="B1301" s="2" t="inlineStr">
        <is>
          <t>Pár autoreproduktorov, 165 mm, 2 pásmový, 4 ohm, 200 W</t>
        </is>
      </c>
      <c r="C1301" s="1" t="n">
        <v>32.99</v>
      </c>
      <c r="D1301" s="7" t="n">
        <f>HYPERLINK("https://www.somogyi.sk/product/par-autoreproduktorov-165-mm-2-pasmovy-4-ohm-200-w-cx-604-13030","https://www.somogyi.sk/product/par-autoreproduktorov-165-mm-2-pasmovy-4-ohm-200-w-cx-604-13030")</f>
        <v>0.0</v>
      </c>
      <c r="E1301" s="7" t="n">
        <f>HYPERLINK("https://www.somogyi.sk/productimages/product_main_images/small/13030.jpg","https://www.somogyi.sk/productimages/product_main_images/small/13030.jpg")</f>
        <v>0.0</v>
      </c>
      <c r="F1301" s="2" t="inlineStr">
        <is>
          <t>5999084912116</t>
        </is>
      </c>
      <c r="G1301" s="4" t="inlineStr">
        <is>
          <t xml:space="preserve"> • funkcia/prevedenie: 2-pásmový autoreproduktor 
 • menovitý priemer reproduktora: stredobasy: Ø165 mm, výška: Ø30 mm 
 • materiál kónusu: polypropylén 
 • impedancia reproduktora: 4 Ω 
 • zaťažiteľnosť reproduktora: 2 x 100 W 
 • frekvenčné pásmo: 45 - 20000 Hz 
 • citlivosť reproduktora: 90 dB 
 • zabudovaná výhybka: áno 
 • mriežka na reproduktor: čiastočná 
 • balenie: pár</t>
        </is>
      </c>
    </row>
    <row r="1302">
      <c r="A1302" s="3" t="inlineStr">
        <is>
          <t>BK 100</t>
        </is>
      </c>
      <c r="B1302" s="2" t="inlineStr">
        <is>
          <t>Pár autoreproduktorov, 100 mm, dvojitý kónus, 4ohm, 90W</t>
        </is>
      </c>
      <c r="C1302" s="1" t="n">
        <v>17.49</v>
      </c>
      <c r="D1302" s="7" t="n">
        <f>HYPERLINK("https://www.somogyi.sk/product/par-autoreproduktorov-100-mm-dvojity-konus-4ohm-90w-bk-100-11828","https://www.somogyi.sk/product/par-autoreproduktorov-100-mm-dvojity-konus-4ohm-90w-bk-100-11828")</f>
        <v>0.0</v>
      </c>
      <c r="E1302" s="7" t="n">
        <f>HYPERLINK("https://www.somogyi.sk/productimages/product_main_images/small/11828.jpg","https://www.somogyi.sk/productimages/product_main_images/small/11828.jpg")</f>
        <v>0.0</v>
      </c>
      <c r="F1302" s="2" t="inlineStr">
        <is>
          <t>5999084900403</t>
        </is>
      </c>
      <c r="G1302" s="4" t="inlineStr">
        <is>
          <t xml:space="preserve"> • funkcia/prevedenie: autoreproduktor s dvojitým kónusom 
 • menovitý priemer reproduktora: Ø100 mm 
 • materiál kónusu: stredobasy: papier, výška: PEI 
 • impedancia reproduktora: 4 Ω 
 • zaťažiteľnosť reproduktora: 2 x 45 W 
 • frekvenčné pásmo: 55 - 19000 Hz 
 • citlivosť reproduktora: 85 dB 
 • balenie: pár</t>
        </is>
      </c>
    </row>
    <row r="1303">
      <c r="A1303" s="3" t="inlineStr">
        <is>
          <t>BK 087</t>
        </is>
      </c>
      <c r="B1303" s="2" t="inlineStr">
        <is>
          <t>Pár autoreproduktorov, 87 mm, dvojitý kónus, 4ohm, 70W</t>
        </is>
      </c>
      <c r="C1303" s="1" t="n">
        <v>16.99</v>
      </c>
      <c r="D1303" s="7" t="n">
        <f>HYPERLINK("https://www.somogyi.sk/product/par-autoreproduktorov-87-mm-dvojity-konus-4ohm-70w-bk-087-11832","https://www.somogyi.sk/product/par-autoreproduktorov-87-mm-dvojity-konus-4ohm-70w-bk-087-11832")</f>
        <v>0.0</v>
      </c>
      <c r="E1303" s="7" t="n">
        <f>HYPERLINK("https://www.somogyi.sk/productimages/product_main_images/small/11832.jpg","https://www.somogyi.sk/productimages/product_main_images/small/11832.jpg")</f>
        <v>0.0</v>
      </c>
      <c r="F1303" s="2" t="inlineStr">
        <is>
          <t>5999084900441</t>
        </is>
      </c>
      <c r="G1303" s="4" t="inlineStr">
        <is>
          <t xml:space="preserve"> • funkcia/prevedenie: autoreproduktor s dvojitým kónusom 
 • menovitý priemer reproduktora: Ø87 mm 
 • materiál kónusu: stredobasy: papier, výška: PEI 
 • impedancia reproduktora: 4 Ω 
 • zaťažiteľnosť reproduktora: 2 x 35 W 
 • frekvenčné pásmo: 75 - 18500 Hz 
 • citlivosť reproduktora: 85 dB 
 • balenie: pár</t>
        </is>
      </c>
    </row>
    <row r="1304">
      <c r="A1304" s="3" t="inlineStr">
        <is>
          <t>BK 165</t>
        </is>
      </c>
      <c r="B1304" s="2" t="inlineStr">
        <is>
          <t>Pár autoreproduktorov, 165 mm, dvojitý kónus, 4ohm, 150W</t>
        </is>
      </c>
      <c r="C1304" s="1" t="n">
        <v>24.99</v>
      </c>
      <c r="D1304" s="7" t="n">
        <f>HYPERLINK("https://www.somogyi.sk/product/par-autoreproduktorov-165-mm-dvojity-konus-4ohm-150w-bk-165-11834","https://www.somogyi.sk/product/par-autoreproduktorov-165-mm-dvojity-konus-4ohm-150w-bk-165-11834")</f>
        <v>0.0</v>
      </c>
      <c r="E1304" s="7" t="n">
        <f>HYPERLINK("https://www.somogyi.sk/productimages/product_main_images/small/11834.jpg","https://www.somogyi.sk/productimages/product_main_images/small/11834.jpg")</f>
        <v>0.0</v>
      </c>
      <c r="F1304" s="2" t="inlineStr">
        <is>
          <t>5999084900465</t>
        </is>
      </c>
      <c r="G1304" s="4" t="inlineStr">
        <is>
          <t xml:space="preserve"> • funkcia/prevedenie: autoreproduktor s dvojitým kónusom 
 • menovitý priemer reproduktora: Ø165 mm 
 • materiál kónusu: stredobasy: papier, výška: PEI 
 • impedancia reproduktora: 4 Ω 
 • zaťažiteľnosť reproduktora: 2 x 75 W 
 • frekvenčné pásmo: 45 - 19000 Hz 
 • citlivosť reproduktora: 86 dB 
 • balenie: pár</t>
        </is>
      </c>
    </row>
    <row r="1305">
      <c r="A1305" s="3" t="inlineStr">
        <is>
          <t>WRX 316</t>
        </is>
      </c>
      <c r="B1305" s="2" t="inlineStr">
        <is>
          <t>Pár autoreproduktorov, 165mm, 3 pásmový, 4ohm, 220W</t>
        </is>
      </c>
      <c r="C1305" s="1" t="n">
        <v>57.99</v>
      </c>
      <c r="D1305" s="7" t="n">
        <f>HYPERLINK("https://www.somogyi.sk/product/par-autoreproduktorov-165mm-3-pasmovy-4ohm-220w-wrx-316-7983","https://www.somogyi.sk/product/par-autoreproduktorov-165mm-3-pasmovy-4ohm-220w-wrx-316-7983")</f>
        <v>0.0</v>
      </c>
      <c r="E1305" s="7" t="n">
        <f>HYPERLINK("https://www.somogyi.sk/productimages/product_main_images/small/07983.jpg","https://www.somogyi.sk/productimages/product_main_images/small/07983.jpg")</f>
        <v>0.0</v>
      </c>
      <c r="F1305" s="2" t="inlineStr">
        <is>
          <t>5998312769386</t>
        </is>
      </c>
      <c r="G1305" s="4" t="inlineStr">
        <is>
          <t xml:space="preserve"> • funkcia/prevedenie: 3-pásmový autoreproduktor 
 • menovitý priemer reproduktora: basový: Ø165 mm, stred: Ø30 mm, výška: Ø15 mm 
 • materiál kónusu: PEI 
 • impedancia reproduktora: 4 Ω 
 • zaťažiteľnosť reproduktora: 2 x 110 W 
 • frekvenčné pásmo: 45 - 20000 Hz 
 • citlivosť reproduktora: 88 dB 
 • kôš reproduktora: hliník 
 • zabudovaná výhybka: áno 
 • mriežka na reproduktor: áno 
 • balenie: pár</t>
        </is>
      </c>
    </row>
    <row r="1306">
      <c r="A1306" s="3" t="inlineStr">
        <is>
          <t>WRX 313</t>
        </is>
      </c>
      <c r="B1306" s="2" t="inlineStr">
        <is>
          <t>Pár autoreproduktorov, 130mm, 3 pásmový, 4ohm, 180W</t>
        </is>
      </c>
      <c r="C1306" s="1" t="n">
        <v>50.99</v>
      </c>
      <c r="D1306" s="7" t="n">
        <f>HYPERLINK("https://www.somogyi.sk/product/par-autoreproduktorov-130mm-3-pasmovy-4ohm-180w-wrx-313-7982","https://www.somogyi.sk/product/par-autoreproduktorov-130mm-3-pasmovy-4ohm-180w-wrx-313-7982")</f>
        <v>0.0</v>
      </c>
      <c r="E1306" s="7" t="n">
        <f>HYPERLINK("https://www.somogyi.sk/productimages/product_main_images/small/07982.jpg","https://www.somogyi.sk/productimages/product_main_images/small/07982.jpg")</f>
        <v>0.0</v>
      </c>
      <c r="F1306" s="2" t="inlineStr">
        <is>
          <t>5998312769379</t>
        </is>
      </c>
      <c r="G1306" s="4" t="inlineStr">
        <is>
          <t xml:space="preserve"> • funkcia/prevedenie: 3 pásmový autoreproduktor 
 • menovitý priemer reproduktora: Ø130 mm 
 • materiál kónusu: stredobas: 130 mm PEI kónus, stred: 30 mm mylar kalotový reproduktor, výškový: 15 mm piezo výškový reproduktor 
 • impedancia reproduktora: 4 Ω 
 • zaťažiteľnosť reproduktora: 2 x 90 W 
 • frekvenčné pásmo: 50 - 20000 Hz 
 • citlivosť reproduktora: 87 dB 
 • kôš reproduktora: hliník 
 • zabudovaná výhybka: áno 
 • mriežka na reproduktor: áno 
 • balenie: pár</t>
        </is>
      </c>
    </row>
    <row r="1307">
      <c r="A1307" s="3" t="inlineStr">
        <is>
          <t>WRX 310</t>
        </is>
      </c>
      <c r="B1307" s="2" t="inlineStr">
        <is>
          <t>Pár autoreproduktorov, 100mm, 3 pásmový, 4ohm, 140W</t>
        </is>
      </c>
      <c r="C1307" s="1" t="n">
        <v>42.99</v>
      </c>
      <c r="D1307" s="7" t="n">
        <f>HYPERLINK("https://www.somogyi.sk/product/par-autoreproduktorov-100mm-3-pasmovy-4ohm-140w-wrx-310-7981","https://www.somogyi.sk/product/par-autoreproduktorov-100mm-3-pasmovy-4ohm-140w-wrx-310-7981")</f>
        <v>0.0</v>
      </c>
      <c r="E1307" s="7" t="n">
        <f>HYPERLINK("https://www.somogyi.sk/productimages/product_main_images/small/07981.jpg","https://www.somogyi.sk/productimages/product_main_images/small/07981.jpg")</f>
        <v>0.0</v>
      </c>
      <c r="F1307" s="2" t="inlineStr">
        <is>
          <t>5998312769362</t>
        </is>
      </c>
      <c r="G1307" s="4" t="inlineStr">
        <is>
          <t xml:space="preserve"> • funkcia/prevedenie: 3-pásmový autoreproduktor 
 • menovitý priemer reproduktora: basový: Ø100 mm, stred: Ø30 mm, výška: Ø15 mm 
 • materiál kónusu: PEI 
 • impedancia reproduktora: 4 Ω 
 • zaťažiteľnosť reproduktora: 2 x 70 W 
 • frekvenčné pásmo: 60 - 20000 Hz 
 • citlivosť reproduktora: 86 dB 
 • kôš reproduktora: hliník 
 • zabudovaná výhybka: áno 
 • mriežka na reproduktor: áno 
 • balenie: pár</t>
        </is>
      </c>
    </row>
    <row r="1308">
      <c r="A1308" s="3" t="inlineStr">
        <is>
          <t>AHX 1620/BK</t>
        </is>
      </c>
      <c r="B1308" s="2" t="inlineStr">
        <is>
          <t>Basový reproduktor, kevlár, 165mm, 4ohm, 60W</t>
        </is>
      </c>
      <c r="C1308" s="1" t="n">
        <v>22.99</v>
      </c>
      <c r="D1308" s="7" t="n">
        <f>HYPERLINK("https://www.somogyi.sk/product/basovy-reproduktor-kevlar-165mm-4ohm-60w-ahx-1620-bk-8796","https://www.somogyi.sk/product/basovy-reproduktor-kevlar-165mm-4ohm-60w-ahx-1620-bk-8796")</f>
        <v>0.0</v>
      </c>
      <c r="E1308" s="7" t="n">
        <f>HYPERLINK("https://www.somogyi.sk/productimages/product_main_images/small/08796.jpg","https://www.somogyi.sk/productimages/product_main_images/small/08796.jpg")</f>
        <v>0.0</v>
      </c>
      <c r="F1308" s="2" t="inlineStr">
        <is>
          <t>5998312776780</t>
        </is>
      </c>
      <c r="G1308" s="4" t="inlineStr">
        <is>
          <t xml:space="preserve"> • funkcia/prevedenie: basový 
 • menovitý priemer reproduktora: 16 cm 
 • materiál kónusu: kevlár 
 • impedancia reproduktora: 4 Ω 
 • zaťažiteľnosť reproduktora: 60 / 40 W 
 • frekvenčné pásmo: 50 - 7000 Hz 
 • citlivosť reproduktora: 88 dB 
 • cievka: 1", 2 vrstvy 
 • teleso cievky: alu 
 • magnet: 20 Oz</t>
        </is>
      </c>
    </row>
    <row r="1309">
      <c r="A1309" s="3" t="inlineStr">
        <is>
          <t>AHX 2030/BK</t>
        </is>
      </c>
      <c r="B1309" s="2" t="inlineStr">
        <is>
          <t>Basový reproduktor, kevlár, 200mm, 4ohm, 120W</t>
        </is>
      </c>
      <c r="C1309" s="1" t="n">
        <v>36.99</v>
      </c>
      <c r="D1309" s="7" t="n">
        <f>HYPERLINK("https://www.somogyi.sk/product/basovy-reproduktor-kevlar-200mm-4ohm-120w-ahx-2030-bk-8800","https://www.somogyi.sk/product/basovy-reproduktor-kevlar-200mm-4ohm-120w-ahx-2030-bk-8800")</f>
        <v>0.0</v>
      </c>
      <c r="E1309" s="7" t="n">
        <f>HYPERLINK("https://www.somogyi.sk/productimages/product_main_images/small/08800.jpg","https://www.somogyi.sk/productimages/product_main_images/small/08800.jpg")</f>
        <v>0.0</v>
      </c>
      <c r="F1309" s="2" t="inlineStr">
        <is>
          <t>5998312776827</t>
        </is>
      </c>
      <c r="G1309" s="4" t="inlineStr">
        <is>
          <t xml:space="preserve"> • funkcia/prevedenie: basový 
 • menovitý priemer reproduktora: 20 cm 
 • materiál kónusu: kevlár 
 • impedancia reproduktora: 4 Ω 
 • zaťažiteľnosť reproduktora: 120 / 80 W 
 • frekvenčné pásmo: 40 - 4000 Hz 
 • citlivosť reproduktora: 88 dB 
 • cievka: 1,5", 2 vrstvy 
 • teleso cievky: alu 
 • magnet: 30 Oz</t>
        </is>
      </c>
    </row>
    <row r="1310">
      <c r="A1310" s="6" t="inlineStr">
        <is>
          <t xml:space="preserve">   Zvuková technika / Príslušenstvo k auto hi-fi</t>
        </is>
      </c>
      <c r="B1310" s="6" t="inlineStr">
        <is>
          <t/>
        </is>
      </c>
      <c r="C1310" s="6" t="inlineStr">
        <is>
          <t/>
        </is>
      </c>
      <c r="D1310" s="6" t="inlineStr">
        <is>
          <t/>
        </is>
      </c>
      <c r="E1310" s="6" t="inlineStr">
        <is>
          <t/>
        </is>
      </c>
      <c r="F1310" s="6" t="inlineStr">
        <is>
          <t/>
        </is>
      </c>
      <c r="G1310" s="6" t="inlineStr">
        <is>
          <t/>
        </is>
      </c>
    </row>
    <row r="1311">
      <c r="A1311" s="3" t="inlineStr">
        <is>
          <t>SA 333</t>
        </is>
      </c>
      <c r="B1311" s="2" t="inlineStr">
        <is>
          <t>Set napájacích káblov</t>
        </is>
      </c>
      <c r="C1311" s="1" t="n">
        <v>33.99</v>
      </c>
      <c r="D1311" s="7" t="n">
        <f>HYPERLINK("https://www.somogyi.sk/product/set-napajacich-kablov-sa-333-15305","https://www.somogyi.sk/product/set-napajacich-kablov-sa-333-15305")</f>
        <v>0.0</v>
      </c>
      <c r="E1311" s="7" t="n">
        <f>HYPERLINK("https://www.somogyi.sk/productimages/product_main_images/small/15305.jpg","https://www.somogyi.sk/productimages/product_main_images/small/15305.jpg")</f>
        <v>0.0</v>
      </c>
      <c r="F1311" s="2" t="inlineStr">
        <is>
          <t>5999084933395</t>
        </is>
      </c>
      <c r="G1311" s="4" t="inlineStr">
        <is>
          <t xml:space="preserve"> • zaťažiteľnosť: 80 A  
 • počet príslušenstva: 42 ks 
 • audio pripojovací kábel: 2 x RCA - 2 x RCA (2 x Ø4 mm, OFC) kábel; 5,2 m 
 • červený napájací kábel: 20 mm²; 5,2 m; modrá 
 • čierny napájací kábel: 20 mm²; 0,9 m; čierna 
 • reprokábel: 2 x 0,75 mm²; 6,1 m; modrá-čierna 
 • objímka poistky: k AGU, Ø10 x 38 mm poistke, pozlátená, aranyozott, vodotesná 
 • poistka: Ø10 x 38 mm, 80 A 
 • vidlicový káblový konektor: pre 2 ks 20 mm² kábel, pre Ø5 mm skrutku + 2 ks izolácie / pre 5 ks Ø4 mm skrutiek + 5 ks izolácií 
 • prstencový káblový konektor: pre 2 ks 20 mm² kábel, pre Ø8 mm skrutku + 2 ks izolácie 
 • svorka: 4 x pre 6,3; 1-2 mm² kábel + 4 ks izolácie 
 • príslušenstvo: 8 ks káblových sťahovacích pások (2 x 150 mm) / ohybná trubka (Ø13 mm x 1,2 m) / kábel (1 mm²; modrá; 5,2 m)</t>
        </is>
      </c>
    </row>
    <row r="1312">
      <c r="A1312" s="3" t="inlineStr">
        <is>
          <t>HVS 14</t>
        </is>
      </c>
      <c r="B1312" s="2" t="inlineStr">
        <is>
          <t>Výhybka</t>
        </is>
      </c>
      <c r="C1312" s="1" t="n">
        <v>18.99</v>
      </c>
      <c r="D1312" s="7" t="n">
        <f>HYPERLINK("https://www.somogyi.sk/product/vyhybka-hvs-14-4185","https://www.somogyi.sk/product/vyhybka-hvs-14-4185")</f>
        <v>0.0</v>
      </c>
      <c r="E1312" s="7" t="n">
        <f>HYPERLINK("https://www.somogyi.sk/productimages/product_main_images/small/04185.jpg","https://www.somogyi.sk/productimages/product_main_images/small/04185.jpg")</f>
        <v>0.0</v>
      </c>
      <c r="F1312" s="2" t="inlineStr">
        <is>
          <t>5998312737224</t>
        </is>
      </c>
      <c r="G1312" s="4" t="inlineStr">
        <is>
          <t xml:space="preserve"> • zaťažiteľnosť: 300 W 
 • deliaci kmitočet: 120 / 160 Hz 
 • strmosť: 12 dB / oktáv 
 • prípojka: háčik na upevnenie 
 • rozmery: 90 x 45 x 70 mm 
 • impedancia reproduktora: 4 / 8 Ohm</t>
        </is>
      </c>
    </row>
    <row r="1313">
      <c r="A1313" s="3" t="inlineStr">
        <is>
          <t>HV 621</t>
        </is>
      </c>
      <c r="B1313" s="2" t="inlineStr">
        <is>
          <t>Výhybka, 2 pásmová, 4ohm, 200W</t>
        </is>
      </c>
      <c r="C1313" s="1" t="n">
        <v>10.49</v>
      </c>
      <c r="D1313" s="7" t="n">
        <f>HYPERLINK("https://www.somogyi.sk/product/vyhybka-2-pasmova-4ohm-200w-hv-621-3038","https://www.somogyi.sk/product/vyhybka-2-pasmova-4ohm-200w-hv-621-3038")</f>
        <v>0.0</v>
      </c>
      <c r="E1313" s="7" t="n">
        <f>HYPERLINK("https://www.somogyi.sk/productimages/product_main_images/small/03038.jpg","https://www.somogyi.sk/productimages/product_main_images/small/03038.jpg")</f>
        <v>0.0</v>
      </c>
      <c r="F1313" s="2" t="inlineStr">
        <is>
          <t>5998312733622</t>
        </is>
      </c>
      <c r="G1313" s="4" t="inlineStr">
        <is>
          <t xml:space="preserve"> • zaťažiteľnosť: 200 W 
 • výstupná impedancia: 4 Ω 
 • deliaci kmitočet: 2500 Hz 
 • strmosť: 6 dB / oktáv 
 • prípojka: pozlátená 
 • rozmery: 35 x 65 x 120 mm</t>
        </is>
      </c>
    </row>
    <row r="1314">
      <c r="A1314" s="3" t="inlineStr">
        <is>
          <t>SA 001</t>
        </is>
      </c>
      <c r="B1314" s="2" t="inlineStr">
        <is>
          <t xml:space="preserve">Úzkopásmový menič </t>
        </is>
      </c>
      <c r="C1314" s="1" t="n">
        <v>12.49</v>
      </c>
      <c r="D1314" s="7" t="n">
        <f>HYPERLINK("https://www.somogyi.sk/product/uzkopasmovy-menic-sa-001-4720","https://www.somogyi.sk/product/uzkopasmovy-menic-sa-001-4720")</f>
        <v>0.0</v>
      </c>
      <c r="E1314" s="7" t="n">
        <f>HYPERLINK("https://www.somogyi.sk/productimages/product_main_images/small/04720.jpg","https://www.somogyi.sk/productimages/product_main_images/small/04720.jpg")</f>
        <v>0.0</v>
      </c>
      <c r="F1314" s="2" t="inlineStr">
        <is>
          <t>5998312741658</t>
        </is>
      </c>
      <c r="G1314" s="4" t="inlineStr">
        <is>
          <t xml:space="preserve"> • audio vstup: vysoko úrovňový 
 • audio výstup: 2 x RCA 
 • vstupný výkon: max. 2 x 50 W 
 • frekvenčné pásmo: 20 - 35000 Hz 
 • max. tlmenie: max. 60 dB 
 • výstupná impedancia: 10 kΩ 
 • rozmery: 90 x 65 x 27 mm</t>
        </is>
      </c>
    </row>
    <row r="1315">
      <c r="A1315" s="3" t="inlineStr">
        <is>
          <t>HV 623</t>
        </is>
      </c>
      <c r="B1315" s="2" t="inlineStr">
        <is>
          <t>Výhybka, 3 pásmová, 4ohm, 200W</t>
        </is>
      </c>
      <c r="C1315" s="1" t="n">
        <v>11.49</v>
      </c>
      <c r="D1315" s="7" t="n">
        <f>HYPERLINK("https://www.somogyi.sk/product/vyhybka-3-pasmova-4ohm-200w-hv-623-3039","https://www.somogyi.sk/product/vyhybka-3-pasmova-4ohm-200w-hv-623-3039")</f>
        <v>0.0</v>
      </c>
      <c r="E1315" s="7" t="n">
        <f>HYPERLINK("https://www.somogyi.sk/productimages/product_main_images/small/03039.jpg","https://www.somogyi.sk/productimages/product_main_images/small/03039.jpg")</f>
        <v>0.0</v>
      </c>
      <c r="F1315" s="2" t="inlineStr">
        <is>
          <t>5998312733639</t>
        </is>
      </c>
      <c r="G1315" s="4" t="inlineStr">
        <is>
          <t xml:space="preserve"> • zaťažiteľnosť: 200 W 
 • výstupná impedancia: 4 Ω 
 • deliaci kmitočet: 700 Hz / 5000 Hz 
 • strmosť: 6 dB / oktáv 
 • prípojka: pozlátená 
 • rozmery: 35 x 65 x 120 mm</t>
        </is>
      </c>
    </row>
    <row r="1316">
      <c r="A1316" s="6" t="inlineStr">
        <is>
          <t xml:space="preserve">   Zvuková technika / Rádio</t>
        </is>
      </c>
      <c r="B1316" s="6" t="inlineStr">
        <is>
          <t/>
        </is>
      </c>
      <c r="C1316" s="6" t="inlineStr">
        <is>
          <t/>
        </is>
      </c>
      <c r="D1316" s="6" t="inlineStr">
        <is>
          <t/>
        </is>
      </c>
      <c r="E1316" s="6" t="inlineStr">
        <is>
          <t/>
        </is>
      </c>
      <c r="F1316" s="6" t="inlineStr">
        <is>
          <t/>
        </is>
      </c>
      <c r="G1316" s="6" t="inlineStr">
        <is>
          <t/>
        </is>
      </c>
    </row>
    <row r="1317">
      <c r="A1317" s="3" t="inlineStr">
        <is>
          <t>RPC 3</t>
        </is>
      </c>
      <c r="B1317" s="2" t="inlineStr">
        <is>
          <t>Prenosné rádio, 2 pásmové</t>
        </is>
      </c>
      <c r="C1317" s="1" t="n">
        <v>13.49</v>
      </c>
      <c r="D1317" s="7" t="n">
        <f>HYPERLINK("https://www.somogyi.sk/product/prenosne-radio-2-pasmove-rpc-3-16911","https://www.somogyi.sk/product/prenosne-radio-2-pasmove-rpc-3-16911")</f>
        <v>0.0</v>
      </c>
      <c r="E1317" s="7" t="n">
        <f>HYPERLINK("https://www.somogyi.sk/productimages/product_main_images/small/16911.jpg","https://www.somogyi.sk/productimages/product_main_images/small/16911.jpg")</f>
        <v>0.0</v>
      </c>
      <c r="F1317" s="2" t="inlineStr">
        <is>
          <t>5999084949433</t>
        </is>
      </c>
      <c r="G1317" s="4" t="inlineStr">
        <is>
          <t xml:space="preserve"> • rádiofrekvenčné pásmo: AM / FM 
 • Zdôraznená charakteristika: LED kontrolka presného ladenia 
 • digitálne hodiny: nie 
 • budenie: nie 
 • napájanie: 2 x AA  batéria (nie je príslušenstvom) 
 • pripojovacia zásuvka pre slúchadlá: Ø3,5 mm jack 
 • rozmery: 133 mm x 70 mm x 32 mm 
 • hmotnosť: 145 g</t>
        </is>
      </c>
    </row>
    <row r="1318">
      <c r="A1318" s="3" t="inlineStr">
        <is>
          <t>INR 3000</t>
        </is>
      </c>
      <c r="B1318" s="2" t="inlineStr">
        <is>
          <t>Internetové rádio</t>
        </is>
      </c>
      <c r="C1318" s="1" t="n">
        <v>67.99</v>
      </c>
      <c r="D1318" s="7" t="n">
        <f>HYPERLINK("https://www.somogyi.sk/product/internetove-radio-inr-3000-17521","https://www.somogyi.sk/product/internetove-radio-inr-3000-17521")</f>
        <v>0.0</v>
      </c>
      <c r="E1318" s="7" t="n">
        <f>HYPERLINK("https://www.somogyi.sk/productimages/product_main_images/small/17521.jpg","https://www.somogyi.sk/productimages/product_main_images/small/17521.jpg")</f>
        <v>0.0</v>
      </c>
      <c r="F1318" s="2" t="inlineStr">
        <is>
          <t>5999084955434</t>
        </is>
      </c>
      <c r="G1318" s="4" t="inlineStr">
        <is>
          <t xml:space="preserve"> • rádiofrekvenčné pásmo: FM RDS 
 • Zdôraznená charakteristika: Prenosný multimediálny prehrávač 4v1 • internetové svetové rádio • bezdrôtové BT pripojenie • sieťová hudobná knižnica Media Center • 6,1 cm farebná TFT LCD obrazovka • časovač spánku • štýly EQ, 3D a vlastné nastavenie EQ • zoznamy rádií kontinentov a krajín • viac ako 23 000 rozhlasových staníc • zoznam obľúbených staníc • ovládanie z PC alebo mobilného prehliadača • programy je možné pridávať aj manuálne • možnosť pripojenia k aktívnemu reproboxu, zosilňovaču • IN pripojenie bezdrôtové • WiFi pripojenie 802.11b/g/n (2.4) • UPnP/DLNA kompatibilné zdieľanie súborov • 2 W reproduktor s hudobným zvukom • predpokladaná doba nabíjania / prevádzková doba: 3,5 h / 11 h • príslušenstvo: nabíjací kábel USB-C, ~1,0 m 
 • digitálne hodiny: áno 
 • napájanie: zabudovaný Li-ion akumulátor (3,7 V / 2000 mAh) 
 • pripojovacia zásuvka pre slúchadlá: Ø3,5 mm jack 
 • rozmery: 160 x 93 x 40 mm 
 • hmotnosť: 260 g 
 • zásuvka pre sieťový adaptér: áno</t>
        </is>
      </c>
    </row>
    <row r="1319">
      <c r="A1319" s="3" t="inlineStr">
        <is>
          <t>RPR 8</t>
        </is>
      </c>
      <c r="B1319" s="2" t="inlineStr">
        <is>
          <t>Prenosné rádio, 3-pásmové, AC/DC</t>
        </is>
      </c>
      <c r="C1319" s="1" t="n">
        <v>24.99</v>
      </c>
      <c r="D1319" s="7" t="n">
        <f>HYPERLINK("https://www.somogyi.sk/product/prenosne-radio-3-pasmove-ac-dc-rpr-8-18252","https://www.somogyi.sk/product/prenosne-radio-3-pasmove-ac-dc-rpr-8-18252")</f>
        <v>0.0</v>
      </c>
      <c r="E1319" s="7" t="n">
        <f>HYPERLINK("https://www.somogyi.sk/productimages/product_main_images/small/18252.jpg","https://www.somogyi.sk/productimages/product_main_images/small/18252.jpg")</f>
        <v>0.0</v>
      </c>
      <c r="F1319" s="2" t="inlineStr">
        <is>
          <t>5999084962746</t>
        </is>
      </c>
      <c r="G1319" s="4" t="inlineStr">
        <is>
          <t xml:space="preserve"> • rádiofrekvenčné pásmo: AM / FM / SW 
 • priemer reproduktora: ∅89 mm (3.5”) 
 • pripojovacia zásuvka pre slúchadlá: ∅3,5 mm, mono 
 • rozmery: 210 x 115/153 x 70 mm 
 • hmotnosť: 560 g 
 • frekvenčný rozsah: 250 - 19.000 Hz</t>
        </is>
      </c>
    </row>
    <row r="1320">
      <c r="A1320" s="3" t="inlineStr">
        <is>
          <t>TR-9202</t>
        </is>
      </c>
      <c r="B1320" s="2" t="inlineStr">
        <is>
          <t>Prenosné rádio</t>
        </is>
      </c>
      <c r="C1320" s="1" t="n">
        <v>23.99</v>
      </c>
      <c r="D1320" s="7" t="n">
        <f>HYPERLINK("https://www.somogyi.sk/product/prenosne-radio-tr-9202-11948","https://www.somogyi.sk/product/prenosne-radio-tr-9202-11948")</f>
        <v>0.0</v>
      </c>
      <c r="E1320" s="7" t="n">
        <f>HYPERLINK("https://www.somogyi.sk/productimages/product_main_images/small/11948.jpg","https://www.somogyi.sk/productimages/product_main_images/small/11948.jpg")</f>
        <v>0.0</v>
      </c>
      <c r="F1320" s="2" t="inlineStr">
        <is>
          <t>5998777301350</t>
        </is>
      </c>
      <c r="G1320" s="4" t="inlineStr">
        <is>
          <t xml:space="preserve"> • rádiofrekvenčné pásmo: AM / FM 
 • LED kontrolka prevádzky: nie 
 • digitálne hodiny: nie 
 • budenie: nie 
 • napájanie: 230 V~ / 50 Hz alebo batérie 
 • pripojovacia zásuvka pre slúchadlá: Ø3,5 mm, jack 
 • rozmery: 237 x 161 x 74 mm 
 • zásuvka pre sieťový adaptér: nie</t>
        </is>
      </c>
    </row>
    <row r="1321">
      <c r="A1321" s="3" t="inlineStr">
        <is>
          <t>RPH 1</t>
        </is>
      </c>
      <c r="B1321" s="2" t="inlineStr">
        <is>
          <t>Solárne hybridné rádio, BT/USB/SD</t>
        </is>
      </c>
      <c r="C1321" s="1" t="n">
        <v>18.99</v>
      </c>
      <c r="D1321" s="7" t="n">
        <f>HYPERLINK("https://www.somogyi.sk/product/solarne-hybridne-radio-bt-usb-sd-rph-1-18253","https://www.somogyi.sk/product/solarne-hybridne-radio-bt-usb-sd-rph-1-18253")</f>
        <v>0.0</v>
      </c>
      <c r="E1321" s="7" t="n">
        <f>HYPERLINK("https://www.somogyi.sk/productimages/product_main_images/small/18253.jpg","https://www.somogyi.sk/productimages/product_main_images/small/18253.jpg")</f>
        <v>0.0</v>
      </c>
      <c r="F1321" s="2" t="inlineStr">
        <is>
          <t>5999084962753</t>
        </is>
      </c>
      <c r="G1321" s="4" t="inlineStr">
        <is>
          <t xml:space="preserve"> • rádiofrekvenčné pásmo: AM / FM / SW 
 • bezdrôtové BT spojenie: v5.0 / TWS / max.10 m • Bluetooth 2.402-2.480 GHz ERP ≤2.5 mW 
 • prehrávateľné formáty: MP3 / WMA / WAV 
 •  
 • priemer reproduktora: Ø57 mm 
 • N/A: ~2.5 h 
 • frekvenčné pásmo: 280 - 18.000 Hz 
 • pripojovacia zásuvka pre slúchadlá: Ø3,5 mm, jack (mono) 
 • hmotnosť: 270 g 
 • čas prevádzky: ~11 h 
 •  
 • frekvenčný rozsah: 280 - 18.000 Hz</t>
        </is>
      </c>
    </row>
    <row r="1322">
      <c r="A1322" s="3" t="inlineStr">
        <is>
          <t>RPR 3LCD</t>
        </is>
      </c>
      <c r="B1322" s="2" t="inlineStr">
        <is>
          <t>Prenosné rádio, 3-pásmové, LCD</t>
        </is>
      </c>
      <c r="C1322" s="1" t="n">
        <v>42.99</v>
      </c>
      <c r="D1322" s="7" t="n">
        <f>HYPERLINK("https://www.somogyi.sk/product/prenosne-radio-3-pasmove-lcd-rpr-3lcd-16184","https://www.somogyi.sk/product/prenosne-radio-3-pasmove-lcd-rpr-3lcd-16184")</f>
        <v>0.0</v>
      </c>
      <c r="E1322" s="7" t="n">
        <f>HYPERLINK("https://www.somogyi.sk/productimages/product_main_images/small/16184.jpg","https://www.somogyi.sk/productimages/product_main_images/small/16184.jpg")</f>
        <v>0.0</v>
      </c>
      <c r="F1322" s="2" t="inlineStr">
        <is>
          <t>5999084942168</t>
        </is>
      </c>
      <c r="G1322" s="4" t="inlineStr">
        <is>
          <t xml:space="preserve"> • rádiofrekvenčné pásmo: AM-FM-SW 
 • Zdôraznená charakteristika: zvýšená citlivosť 
 • digitálne hodiny: LCD hodiny s modrým podsvietením 
 • budenie: budenie rádiom alebo signálom bip-bip 
 • pripojovacia zásuvka pre slúchadlá: Ø3,5 mm jack 
 • rozmery: 235 x 120 x 50 mm 
 • hmotnosť: 595 g</t>
        </is>
      </c>
    </row>
    <row r="1323">
      <c r="A1323" s="3" t="inlineStr">
        <is>
          <t>RPH 2</t>
        </is>
      </c>
      <c r="B1323" s="2" t="inlineStr">
        <is>
          <t>Solárne hybridné rádio, BT/USB/SD</t>
        </is>
      </c>
      <c r="C1323" s="1" t="n">
        <v>57.99</v>
      </c>
      <c r="D1323" s="7" t="n">
        <f>HYPERLINK("https://www.somogyi.sk/product/solarne-hybridne-radio-bt-usb-sd-rph-2-18259","https://www.somogyi.sk/product/solarne-hybridne-radio-bt-usb-sd-rph-2-18259")</f>
        <v>0.0</v>
      </c>
      <c r="E1323" s="7" t="n">
        <f>HYPERLINK("https://www.somogyi.sk/productimages/product_main_images/small/18259.jpg","https://www.somogyi.sk/productimages/product_main_images/small/18259.jpg")</f>
        <v>0.0</v>
      </c>
      <c r="F1323" s="2" t="inlineStr">
        <is>
          <t>5999084962814</t>
        </is>
      </c>
      <c r="G1323" s="4" t="inlineStr">
        <is>
          <t xml:space="preserve"> • rádiofrekvenčné pásmo: AM / FM / WB 
 •  
 •  
 • prehrávateľné formáty: MP3 
 •  
 • N/A: USB: ~3h 
 • frekvenčné pásmo: 300 - 20.000 Hz 
 • napájanie: zabudovaný akumulátor 
 • rozmery: 160 x 80 x 66 mm 
 • hmotnosť: 400 g</t>
        </is>
      </c>
    </row>
    <row r="1324">
      <c r="A1324" s="3" t="inlineStr">
        <is>
          <t>INR 5000/BK</t>
        </is>
      </c>
      <c r="B1324" s="2" t="inlineStr">
        <is>
          <t>Internetové rádio, 5in1, čierna</t>
        </is>
      </c>
      <c r="C1324" s="1" t="n">
        <v>132.9</v>
      </c>
      <c r="D1324" s="7" t="n">
        <f>HYPERLINK("https://www.somogyi.sk/product/internetove-radio-5in1-cierna-inr-5000-bk-17033","https://www.somogyi.sk/product/internetove-radio-5in1-cierna-inr-5000-bk-17033")</f>
        <v>0.0</v>
      </c>
      <c r="E1324" s="7" t="n">
        <f>HYPERLINK("https://www.somogyi.sk/productimages/product_main_images/small/17033.jpg","https://www.somogyi.sk/productimages/product_main_images/small/17033.jpg")</f>
        <v>0.0</v>
      </c>
      <c r="F1324" s="2" t="inlineStr">
        <is>
          <t>5999084950651</t>
        </is>
      </c>
      <c r="G1324" s="4" t="inlineStr">
        <is>
          <t xml:space="preserve"> • rádiofrekvenčné pásmo: DAB /DAB / FM RDS 
 •  
 • digitálne hodiny: áno 
 • budenie: áno 
 • napájanie: adaptér 
 • pripojovacia zásuvka pre slúchadlá: Ø3,5 mm jack 
 • rozmery: 295 x 120 x 160 mm 
 • hmotnosť: 1,6 kg 
 • zásuvka pre sieťový adaptér: áno</t>
        </is>
      </c>
    </row>
    <row r="1325">
      <c r="A1325" s="3" t="inlineStr">
        <is>
          <t>RPC 4</t>
        </is>
      </c>
      <c r="B1325" s="2" t="inlineStr">
        <is>
          <t>Prenostné rádiio, 2 pásmové</t>
        </is>
      </c>
      <c r="C1325" s="1" t="n">
        <v>11.99</v>
      </c>
      <c r="D1325" s="7" t="n">
        <f>HYPERLINK("https://www.somogyi.sk/product/prenostne-radiio-2-pasmove-rpc-4-17091","https://www.somogyi.sk/product/prenostne-radiio-2-pasmove-rpc-4-17091")</f>
        <v>0.0</v>
      </c>
      <c r="E1325" s="7" t="n">
        <f>HYPERLINK("https://www.somogyi.sk/productimages/product_main_images/small/17091.jpg","https://www.somogyi.sk/productimages/product_main_images/small/17091.jpg")</f>
        <v>0.0</v>
      </c>
      <c r="F1325" s="2" t="inlineStr">
        <is>
          <t>5999084951238</t>
        </is>
      </c>
      <c r="G1325" s="4" t="inlineStr">
        <is>
          <t xml:space="preserve"> • rádiofrekvenčné pásmo: AM / FM 
 • Zdôraznená charakteristika: LED kontrolka presného ladenia 
 • digitálne hodiny: nie 
 • budenie: nie 
 • napájanie: 2 x AA  batéria (nie je príslušenstvom) 
 • pripojovacia zásuvka pre slúchadlá: Ø3,5 mm jack 
 • rozmery: 69 mm x 118 mm x 30 mm 
 • hmotnosť: 110 g</t>
        </is>
      </c>
    </row>
    <row r="1326">
      <c r="A1326" s="6" t="inlineStr">
        <is>
          <t xml:space="preserve">   Zvuková technika / Reprobox</t>
        </is>
      </c>
      <c r="B1326" s="6" t="inlineStr">
        <is>
          <t/>
        </is>
      </c>
      <c r="C1326" s="6" t="inlineStr">
        <is>
          <t/>
        </is>
      </c>
      <c r="D1326" s="6" t="inlineStr">
        <is>
          <t/>
        </is>
      </c>
      <c r="E1326" s="6" t="inlineStr">
        <is>
          <t/>
        </is>
      </c>
      <c r="F1326" s="6" t="inlineStr">
        <is>
          <t/>
        </is>
      </c>
      <c r="G1326" s="6" t="inlineStr">
        <is>
          <t/>
        </is>
      </c>
    </row>
    <row r="1327">
      <c r="A1327" s="3" t="inlineStr">
        <is>
          <t>BXB 10050P</t>
        </is>
      </c>
      <c r="B1327" s="2" t="inlineStr">
        <is>
          <t>Bass-reflex reprobox</t>
        </is>
      </c>
      <c r="C1327" s="1" t="n">
        <v>53.99</v>
      </c>
      <c r="D1327" s="7" t="n">
        <f>HYPERLINK("https://www.somogyi.sk/product/bass-reflex-reprobox-bxb-10050p-4539","https://www.somogyi.sk/product/bass-reflex-reprobox-bxb-10050p-4539")</f>
        <v>0.0</v>
      </c>
      <c r="E1327" s="7" t="n">
        <f>HYPERLINK("https://www.somogyi.sk/productimages/product_main_images/small/04539.jpg","https://www.somogyi.sk/productimages/product_main_images/small/04539.jpg")</f>
        <v>0.0</v>
      </c>
      <c r="F1327" s="2" t="inlineStr">
        <is>
          <t>5998312739976</t>
        </is>
      </c>
      <c r="G1327" s="4" t="inlineStr">
        <is>
          <t xml:space="preserve"> • prevedenie reproboxu: 3-pásmový bass-reflex 
 • výkon: 60 W 
 • frekvenčné pásmo: 55 - 20000 Hz 
 • impedancia reproduktora: 8 Ohm 
 • rozmery: 140 x 210 x 120 mm 
 • balenie: pár</t>
        </is>
      </c>
    </row>
    <row r="1328">
      <c r="A1328" s="3" t="inlineStr">
        <is>
          <t>BXB 100/8</t>
        </is>
      </c>
      <c r="B1328" s="2" t="inlineStr">
        <is>
          <t>Reprobox, 2 pásmový, 1 ks</t>
        </is>
      </c>
      <c r="C1328" s="1" t="n">
        <v>68.99</v>
      </c>
      <c r="D1328" s="7" t="n">
        <f>HYPERLINK("https://www.somogyi.sk/product/reprobox-2-pasmovy-1-ks-bxb-100-8-17126","https://www.somogyi.sk/product/reprobox-2-pasmovy-1-ks-bxb-100-8-17126")</f>
        <v>0.0</v>
      </c>
      <c r="E1328" s="7" t="n">
        <f>HYPERLINK("https://www.somogyi.sk/productimages/product_main_images/small/17126.jpg","https://www.somogyi.sk/productimages/product_main_images/small/17126.jpg")</f>
        <v>0.0</v>
      </c>
      <c r="F1328" s="2" t="inlineStr">
        <is>
          <t>5999084951580</t>
        </is>
      </c>
      <c r="G1328" s="4" t="inlineStr">
        <is>
          <t xml:space="preserve"> • prevedenie reproboxu: 2 pásmový bas-reflex 
 • výkon: 60 W 
 • frekvenčné pásmo: 45 - 20000 Hz 
 • impedancia reproduktora: 8 Ohm 
 • rozmery: 200 x 285 x 190 mm / 2,9 kg</t>
        </is>
      </c>
    </row>
    <row r="1329">
      <c r="A1329" s="6" t="inlineStr">
        <is>
          <t xml:space="preserve">   Zvuková technika / Hifi stredobasový, basový, širokopásmový reproduktor</t>
        </is>
      </c>
      <c r="B1329" s="6" t="inlineStr">
        <is>
          <t/>
        </is>
      </c>
      <c r="C1329" s="6" t="inlineStr">
        <is>
          <t/>
        </is>
      </c>
      <c r="D1329" s="6" t="inlineStr">
        <is>
          <t/>
        </is>
      </c>
      <c r="E1329" s="6" t="inlineStr">
        <is>
          <t/>
        </is>
      </c>
      <c r="F1329" s="6" t="inlineStr">
        <is>
          <t/>
        </is>
      </c>
      <c r="G1329" s="6" t="inlineStr">
        <is>
          <t/>
        </is>
      </c>
    </row>
    <row r="1330">
      <c r="A1330" s="3" t="inlineStr">
        <is>
          <t>SBX 2530/BK</t>
        </is>
      </c>
      <c r="B1330" s="2" t="inlineStr">
        <is>
          <t>Basový reproduktor</t>
        </is>
      </c>
      <c r="C1330" s="1" t="n">
        <v>45.99</v>
      </c>
      <c r="D1330" s="7" t="n">
        <f>HYPERLINK("https://www.somogyi.sk/product/basovy-reproduktor-sbx-2530-bk-8807","https://www.somogyi.sk/product/basovy-reproduktor-sbx-2530-bk-8807")</f>
        <v>0.0</v>
      </c>
      <c r="E1330" s="7" t="n">
        <f>HYPERLINK("https://www.somogyi.sk/productimages/product_main_images/small/08807.jpg","https://www.somogyi.sk/productimages/product_main_images/small/08807.jpg")</f>
        <v>0.0</v>
      </c>
      <c r="F1330" s="2" t="inlineStr">
        <is>
          <t>5998312776896</t>
        </is>
      </c>
      <c r="G1330" s="4" t="inlineStr">
        <is>
          <t xml:space="preserve"> • magneticky tienený reproduktor: nie 
 • menovitý priemer reproduktora: 250 mm 
 • plnené ferrofluidom: nie 
 • materiál kónusu: kevlár 
 • impedancia reproduktora: 8 Ω 
 • zaťažiteľnosť reproduktora: 150 / 100 W 
 • frekvenčné pásmo: 30 - 2500 Hz 
 • citlivosť reproduktora: 90 dB 
 • cievka: 1,5", 4 vrstvy 
 • teleso cievky: hliník 
 • magnet: 30 Oz</t>
        </is>
      </c>
    </row>
    <row r="1331">
      <c r="A1331" s="3" t="inlineStr">
        <is>
          <t>SBV 2020/4</t>
        </is>
      </c>
      <c r="B1331" s="2" t="inlineStr">
        <is>
          <t>Basový reproduktor</t>
        </is>
      </c>
      <c r="C1331" s="1" t="n">
        <v>20.99</v>
      </c>
      <c r="D1331" s="7" t="n">
        <f>HYPERLINK("https://www.somogyi.sk/product/basovy-reproduktor-sbv-2020-4-3141","https://www.somogyi.sk/product/basovy-reproduktor-sbv-2020-4-3141")</f>
        <v>0.0</v>
      </c>
      <c r="E1331" s="7" t="n">
        <f>HYPERLINK("https://www.somogyi.sk/productimages/product_main_images/small/03141.jpg","https://www.somogyi.sk/productimages/product_main_images/small/03141.jpg")</f>
        <v>0.0</v>
      </c>
      <c r="F1331" s="2" t="inlineStr">
        <is>
          <t>5998312734650</t>
        </is>
      </c>
      <c r="G1331" s="4" t="inlineStr">
        <is>
          <t xml:space="preserve"> • magneticky tienený reproduktor: nie 
 • menovitý priemer reproduktora: 200 mm 
 • plnené ferrofluidom: nie 
 • materiál kónusu: PC 
 • impedancia reproduktora: 4 Ω 
 • zaťažiteľnosť reproduktora: 80 / 50 W 
 • frekvenčné pásmo: 45 - 5000 Hz 
 • citlivosť reproduktora: 86 dB 
 • cievka: 1" 2 vrstvy 
 • teleso cievky: hliník 
 • magnet: 20 Oz</t>
        </is>
      </c>
    </row>
    <row r="1332">
      <c r="A1332" s="3" t="inlineStr">
        <is>
          <t>SKN 10</t>
        </is>
      </c>
      <c r="B1332" s="2" t="inlineStr">
        <is>
          <t>Stredový reproduktor</t>
        </is>
      </c>
      <c r="C1332" s="1" t="n">
        <v>8.59</v>
      </c>
      <c r="D1332" s="7" t="n">
        <f>HYPERLINK("https://www.somogyi.sk/product/stredovy-reproduktor-skn-10-8711","https://www.somogyi.sk/product/stredovy-reproduktor-skn-10-8711")</f>
        <v>0.0</v>
      </c>
      <c r="E1332" s="7" t="n">
        <f>HYPERLINK("https://www.somogyi.sk/productimages/product_main_images/small/08711.jpg","https://www.somogyi.sk/productimages/product_main_images/small/08711.jpg")</f>
        <v>0.0</v>
      </c>
      <c r="F1332" s="2" t="inlineStr">
        <is>
          <t>5998312775950</t>
        </is>
      </c>
      <c r="G1332" s="4" t="inlineStr">
        <is>
          <t xml:space="preserve"> • magneticky tienený reproduktor: nie 
 • menovitý priemer reproduktora: 100 mm 
 • plnené ferrofluidom: nie 
 • materiál kónusu: PC 
 • impedancia reproduktora: 8 Ω 
 • zaťažiteľnosť reproduktora: 40 / 30 W 
 • frekvenčné pásmo: 500 - 8500 hz 
 • citlivosť reproduktora: 84 dB 
 • hermeticky uzavretý kôš: áno</t>
        </is>
      </c>
    </row>
    <row r="1333">
      <c r="A1333" s="3" t="inlineStr">
        <is>
          <t>SBX 1320/BK</t>
        </is>
      </c>
      <c r="B1333" s="2" t="inlineStr">
        <is>
          <t>Stredobasový reproduktor</t>
        </is>
      </c>
      <c r="C1333" s="1" t="n">
        <v>15.99</v>
      </c>
      <c r="D1333" s="7" t="n">
        <f>HYPERLINK("https://www.somogyi.sk/product/stredobasovy-reproduktor-sbx-1320-bk-8804","https://www.somogyi.sk/product/stredobasovy-reproduktor-sbx-1320-bk-8804")</f>
        <v>0.0</v>
      </c>
      <c r="E1333" s="7" t="n">
        <f>HYPERLINK("https://www.somogyi.sk/productimages/product_main_images/small/08804.jpg","https://www.somogyi.sk/productimages/product_main_images/small/08804.jpg")</f>
        <v>0.0</v>
      </c>
      <c r="F1333" s="2" t="inlineStr">
        <is>
          <t>5998312776865</t>
        </is>
      </c>
      <c r="G1333" s="4" t="inlineStr">
        <is>
          <t xml:space="preserve"> • magneticky tienený reproduktor: nie 
 • menovitý priemer reproduktora: 130 mm 
 • plnené ferrofluidom: nie 
 • materiál kónusu: kevlár 
 • impedancia reproduktora: 8 Ω 
 • zaťažiteľnosť reproduktora: 60 / 40 W 
 • frekvenčné pásmo: 50 - 7000 Hz 
 • citlivosť reproduktora: 85 dB 
 • cievka: 1", 4 vrstvy 
 • teleso cievky: hliník 
 • magnet: 20 Oz</t>
        </is>
      </c>
    </row>
    <row r="1334">
      <c r="A1334" s="3" t="inlineStr">
        <is>
          <t>DTF 12</t>
        </is>
      </c>
      <c r="B1334" s="2" t="inlineStr">
        <is>
          <t>Kalotový reproduktor</t>
        </is>
      </c>
      <c r="C1334" s="1" t="n">
        <v>10.49</v>
      </c>
      <c r="D1334" s="7" t="n">
        <f>HYPERLINK("https://www.somogyi.sk/product/kalotovy-reproduktor-dtf-12-2656","https://www.somogyi.sk/product/kalotovy-reproduktor-dtf-12-2656")</f>
        <v>0.0</v>
      </c>
      <c r="E1334" s="7" t="n">
        <f>HYPERLINK("https://www.somogyi.sk/productimages/product_main_images/small/02656.jpg","https://www.somogyi.sk/productimages/product_main_images/small/02656.jpg")</f>
        <v>0.0</v>
      </c>
      <c r="F1334" s="2" t="inlineStr">
        <is>
          <t>5998312729762</t>
        </is>
      </c>
      <c r="G1334" s="4" t="inlineStr">
        <is>
          <t xml:space="preserve"> • magneticky tienený reproduktor: nie 
 • menovitý priemer reproduktora: 103 mm 
 • plnené ferrofluidom: áno 
 • materiál kónusu: hodváb 
 • impedancia reproduktora: 8 Ω 
 • zaťažiteľnosť reproduktora: 100 / 50 W 
 • frekvenčné pásmo: 2000 - 21000 Hz 
 • citlivosť reproduktora: 91 db 
 • cievka: 1" 
 • magnet: 8 Oz</t>
        </is>
      </c>
    </row>
    <row r="1335">
      <c r="A1335" s="3" t="inlineStr">
        <is>
          <t>DT 21</t>
        </is>
      </c>
      <c r="B1335" s="2" t="inlineStr">
        <is>
          <t>Výškový reproduktor</t>
        </is>
      </c>
      <c r="C1335" s="1" t="n">
        <v>3.69</v>
      </c>
      <c r="D1335" s="7" t="n">
        <f>HYPERLINK("https://www.somogyi.sk/product/vyskovy-reproduktor-dt-21-16208","https://www.somogyi.sk/product/vyskovy-reproduktor-dt-21-16208")</f>
        <v>0.0</v>
      </c>
      <c r="E1335" s="7" t="n">
        <f>HYPERLINK("https://www.somogyi.sk/productimages/product_main_images/small/16208.jpg","https://www.somogyi.sk/productimages/product_main_images/small/16208.jpg")</f>
        <v>0.0</v>
      </c>
      <c r="F1335" s="2" t="inlineStr">
        <is>
          <t>5999084942403</t>
        </is>
      </c>
      <c r="G1335" s="4" t="inlineStr">
        <is>
          <t xml:space="preserve"> • magneticky tienený reproduktor: nie 
 • menovitý priemer reproduktora: Ø74 mm 
 • materiál kónusu: mylar 
 • impedancia reproduktora: 8 Ohm 
 • zaťažiteľnosť reproduktora: 40 W  / 20 W (hudobný / menovitý) 
 • frekvenčné pásmo: 3.000 – 21.000 Hz 
 • citlivosť reproduktora: 91 dB 
 • magnet: 2 x 0,6 Oz</t>
        </is>
      </c>
    </row>
    <row r="1336">
      <c r="A1336" s="3" t="inlineStr">
        <is>
          <t>SBX 1010/BK</t>
        </is>
      </c>
      <c r="B1336" s="2" t="inlineStr">
        <is>
          <t>Stredobasový reproduktor</t>
        </is>
      </c>
      <c r="C1336" s="1" t="n">
        <v>12.99</v>
      </c>
      <c r="D1336" s="7" t="n">
        <f>HYPERLINK("https://www.somogyi.sk/product/stredobasovy-reproduktor-sbx-1010-bk-8803","https://www.somogyi.sk/product/stredobasovy-reproduktor-sbx-1010-bk-8803")</f>
        <v>0.0</v>
      </c>
      <c r="E1336" s="7" t="n">
        <f>HYPERLINK("https://www.somogyi.sk/productimages/product_main_images/small/08803.jpg","https://www.somogyi.sk/productimages/product_main_images/small/08803.jpg")</f>
        <v>0.0</v>
      </c>
      <c r="F1336" s="2" t="inlineStr">
        <is>
          <t>5998312776858</t>
        </is>
      </c>
      <c r="G1336" s="4" t="inlineStr">
        <is>
          <t xml:space="preserve"> • magneticky tienený reproduktor: nie 
 • menovitý priemer reproduktora: 100 mm 
 • plnené ferrofluidom: nie 
 • materiál kónusu: kevlár 
 • impedancia reproduktora: 8 Ω 
 • zaťažiteľnosť reproduktora: 50 / 35 W 
 • frekvenčné pásmo: 55 - 8000 Hz 
 • citlivosť reproduktora: 82 dB 
 • cievka: 0,75", 2 vrstvy 
 • teleso cievky: hliník 
 • magnet: 10 Oz</t>
        </is>
      </c>
    </row>
    <row r="1337">
      <c r="A1337" s="3" t="inlineStr">
        <is>
          <t>SBX 2030/BK</t>
        </is>
      </c>
      <c r="B1337" s="2" t="inlineStr">
        <is>
          <t>Basový reproduktor</t>
        </is>
      </c>
      <c r="C1337" s="1" t="n">
        <v>41.99</v>
      </c>
      <c r="D1337" s="7" t="n">
        <f>HYPERLINK("https://www.somogyi.sk/product/basovy-reproduktor-sbx-2030-bk-8806","https://www.somogyi.sk/product/basovy-reproduktor-sbx-2030-bk-8806")</f>
        <v>0.0</v>
      </c>
      <c r="E1337" s="7" t="n">
        <f>HYPERLINK("https://www.somogyi.sk/productimages/product_main_images/small/08806.jpg","https://www.somogyi.sk/productimages/product_main_images/small/08806.jpg")</f>
        <v>0.0</v>
      </c>
      <c r="F1337" s="2" t="inlineStr">
        <is>
          <t>5998312776889</t>
        </is>
      </c>
      <c r="G1337" s="4" t="inlineStr">
        <is>
          <t xml:space="preserve"> • magneticky tienený reproduktor: nie 
 • menovitý priemer reproduktora: 200 mm 
 • plnené ferrofluidom: nie 
 • materiál kónusu: kevlár 
 • impedancia reproduktora: 8 Ω 
 • zaťažiteľnosť reproduktora: 120 / 80 W 
 • frekvenčné pásmo: 35 -3000 Hz 
 • citlivosť reproduktora: 88 dB 
 • cievka: 1,5", 4 vrstvy 
 • teleso cievky: hliník 
 • magnet: 30 Oz</t>
        </is>
      </c>
    </row>
    <row r="1338">
      <c r="A1338" s="3" t="inlineStr">
        <is>
          <t>SKN 16</t>
        </is>
      </c>
      <c r="B1338" s="2" t="inlineStr">
        <is>
          <t>Stredový reproduktor</t>
        </is>
      </c>
      <c r="C1338" s="1" t="n">
        <v>14.49</v>
      </c>
      <c r="D1338" s="7" t="n">
        <f>HYPERLINK("https://www.somogyi.sk/product/stredovy-reproduktor-skn-16-8713","https://www.somogyi.sk/product/stredovy-reproduktor-skn-16-8713")</f>
        <v>0.0</v>
      </c>
      <c r="E1338" s="7" t="n">
        <f>HYPERLINK("https://www.somogyi.sk/productimages/product_main_images/small/08713.jpg","https://www.somogyi.sk/productimages/product_main_images/small/08713.jpg")</f>
        <v>0.0</v>
      </c>
      <c r="F1338" s="2" t="inlineStr">
        <is>
          <t>5998312775974</t>
        </is>
      </c>
      <c r="G1338" s="4" t="inlineStr">
        <is>
          <t xml:space="preserve"> • magneticky tienený reproduktor: nie 
 • menovitý priemer reproduktora: 165 mm 
 • plnené ferrofluidom: nie 
 • materiál kónusu: PC 
 • impedancia reproduktora: 8 Ω 
 • zaťažiteľnosť reproduktora: 60 / 40 W 
 • frekvenčné pásmo: 300 - 6000 Hz 
 • citlivosť reproduktora: 88 dB 
 • hermeticky uzavretý kôš: áno</t>
        </is>
      </c>
    </row>
    <row r="1339">
      <c r="A1339" s="3" t="inlineStr">
        <is>
          <t>SKN 13</t>
        </is>
      </c>
      <c r="B1339" s="2" t="inlineStr">
        <is>
          <t>Stredový reproduktor</t>
        </is>
      </c>
      <c r="C1339" s="1" t="n">
        <v>9.99</v>
      </c>
      <c r="D1339" s="7" t="n">
        <f>HYPERLINK("https://www.somogyi.sk/product/stredovy-reproduktor-skn-13-8712","https://www.somogyi.sk/product/stredovy-reproduktor-skn-13-8712")</f>
        <v>0.0</v>
      </c>
      <c r="E1339" s="7" t="n">
        <f>HYPERLINK("https://www.somogyi.sk/productimages/product_main_images/small/08712.jpg","https://www.somogyi.sk/productimages/product_main_images/small/08712.jpg")</f>
        <v>0.0</v>
      </c>
      <c r="F1339" s="2" t="inlineStr">
        <is>
          <t>5998312775967</t>
        </is>
      </c>
      <c r="G1339" s="4" t="inlineStr">
        <is>
          <t xml:space="preserve"> • magneticky tienený reproduktor: nie 
 • menovitý priemer reproduktora: 130 mm 
 • plnené ferrofluidom: nie 
 • materiál kónusu: PC 
 • impedancia reproduktora: 8 Ω 
 • zaťažiteľnosť reproduktora: 50 / 40 W 
 • frekvenčné pásmo: 400 - 7000 Hz 
 • citlivosť reproduktora: 86 dB 
 • hermeticky uzavretý kôš: áno</t>
        </is>
      </c>
    </row>
    <row r="1340">
      <c r="A1340" s="3" t="inlineStr">
        <is>
          <t>SBX 1620/BK</t>
        </is>
      </c>
      <c r="B1340" s="2" t="inlineStr">
        <is>
          <t>Basový reproduktor</t>
        </is>
      </c>
      <c r="C1340" s="1" t="n">
        <v>24.99</v>
      </c>
      <c r="D1340" s="7" t="n">
        <f>HYPERLINK("https://www.somogyi.sk/product/basovy-reproduktor-sbx-1620-bk-8805","https://www.somogyi.sk/product/basovy-reproduktor-sbx-1620-bk-8805")</f>
        <v>0.0</v>
      </c>
      <c r="E1340" s="7" t="n">
        <f>HYPERLINK("https://www.somogyi.sk/productimages/product_main_images/small/08805.jpg","https://www.somogyi.sk/productimages/product_main_images/small/08805.jpg")</f>
        <v>0.0</v>
      </c>
      <c r="F1340" s="2" t="inlineStr">
        <is>
          <t>5998312776872</t>
        </is>
      </c>
      <c r="G1340" s="4" t="inlineStr">
        <is>
          <t xml:space="preserve"> • magneticky tienený reproduktor: nie 
 • menovitý priemer reproduktora: 165 mm 
 • plnené ferrofluidom: nie 
 • materiál kónusu: kevlár 
 • impedancia reproduktora: 8 Ω 
 • zaťažiteľnosť reproduktora: 80 / 50 W 
 • frekvenčné pásmo: 45 - 7000 Hz 
 • citlivosť reproduktora: 87 dB 
 • cievka: 1", 4 vrstvy 
 • teleso cievky: hliník 
 • magnet: 20 Oz</t>
        </is>
      </c>
    </row>
    <row r="1341">
      <c r="A1341" s="3" t="inlineStr">
        <is>
          <t>SBV 2020</t>
        </is>
      </c>
      <c r="B1341" s="2" t="inlineStr">
        <is>
          <t>Basový reproduktor</t>
        </is>
      </c>
      <c r="C1341" s="1" t="n">
        <v>20.99</v>
      </c>
      <c r="D1341" s="7" t="n">
        <f>HYPERLINK("https://www.somogyi.sk/product/basovy-reproduktor-sbv-2020-3050","https://www.somogyi.sk/product/basovy-reproduktor-sbv-2020-3050")</f>
        <v>0.0</v>
      </c>
      <c r="E1341" s="7" t="n">
        <f>HYPERLINK("https://www.somogyi.sk/productimages/product_main_images/small/03050.jpg","https://www.somogyi.sk/productimages/product_main_images/small/03050.jpg")</f>
        <v>0.0</v>
      </c>
      <c r="F1341" s="2" t="inlineStr">
        <is>
          <t>5998312733745</t>
        </is>
      </c>
      <c r="G1341" s="4" t="inlineStr">
        <is>
          <t xml:space="preserve"> • magneticky tienený reproduktor: nie 
 • menovitý priemer reproduktora: 200 mm 
 • plnené ferrofluidom: nie 
 • materiál kónusu: PC 
 • impedancia reproduktora: 8 Ω 
 • zaťažiteľnosť reproduktora: 80 / 50 W 
 • frekvenčné pásmo: 45 - 5000 Hz 
 • citlivosť reproduktora: 85 dB 
 • cievka: 1" 2 vrstvy 
 • teleso cievky: hliník 
 • magnet: 20 Oz</t>
        </is>
      </c>
    </row>
    <row r="1342">
      <c r="A1342" s="6" t="inlineStr">
        <is>
          <t xml:space="preserve">   Zvuková technika / Prenosný multimediálny reproduktor</t>
        </is>
      </c>
      <c r="B1342" s="6" t="inlineStr">
        <is>
          <t/>
        </is>
      </c>
      <c r="C1342" s="6" t="inlineStr">
        <is>
          <t/>
        </is>
      </c>
      <c r="D1342" s="6" t="inlineStr">
        <is>
          <t/>
        </is>
      </c>
      <c r="E1342" s="6" t="inlineStr">
        <is>
          <t/>
        </is>
      </c>
      <c r="F1342" s="6" t="inlineStr">
        <is>
          <t/>
        </is>
      </c>
      <c r="G1342" s="6" t="inlineStr">
        <is>
          <t/>
        </is>
      </c>
    </row>
    <row r="1343">
      <c r="A1343" s="3" t="inlineStr">
        <is>
          <t>RRT 6B</t>
        </is>
      </c>
      <c r="B1343" s="2" t="inlineStr">
        <is>
          <t>Retro  rádio, AM-FM-BT-USB-mSD</t>
        </is>
      </c>
      <c r="C1343" s="1" t="n">
        <v>62.99</v>
      </c>
      <c r="D1343" s="7" t="n">
        <f>HYPERLINK("https://www.somogyi.sk/product/retro-radio-am-fm-bt-usb-msd-rrt-6b-17952","https://www.somogyi.sk/product/retro-radio-am-fm-bt-usb-msd-rrt-6b-17952")</f>
        <v>0.0</v>
      </c>
      <c r="E1343" s="7" t="n">
        <f>HYPERLINK("https://www.somogyi.sk/productimages/product_main_images/small/17952.jpg","https://www.somogyi.sk/productimages/product_main_images/small/17952.jpg")</f>
        <v>0.0</v>
      </c>
      <c r="F1343" s="2" t="inlineStr">
        <is>
          <t>5999084959746</t>
        </is>
      </c>
      <c r="G1343" s="4" t="inlineStr">
        <is>
          <t xml:space="preserve"> • reproduktor: 2 x 63 mm / 4 Ohm 
 • frekvenčné pásmo: 80 - 20.000 Hz 
 • výstupný výkon: 2 x 5 Watt max. 
 • bezdrôtové BT spojenie: van (5.0, EDR, A2DP / 10m max) v2.1 + EDR / max.10 m • Bluetooth 2.402-2.480 GHz ERP ≤2.5 mW 
 • prehrávateľné formáty: MP3 / WMA / FLAC / APE 
 • možnosť pripojiť pamäť: USB / micro SD FAT32, max.16 GB 
 • stereo efekt: áno 
 •  
 • zabudovaný mikrofón: áno 
 • ozvučenie telefonického hovoru: áno 
 • káblový audio vstup: Ø3,5 mm jack 
 • zásuvka pre slúchadlo: Ø3,5 mm jack 
 • zabudovaný akumulátor: áno (18650 Li-ion) 
 •  
 • napájanie: akumulátor 
 • rozmery: 227 x 133 x 102 mm / 770 g</t>
        </is>
      </c>
    </row>
    <row r="1344">
      <c r="A1344" s="3" t="inlineStr">
        <is>
          <t>SB 2000</t>
        </is>
      </c>
      <c r="B1344" s="2" t="inlineStr">
        <is>
          <t>Zvukový projektor, prenosný, vodotesný</t>
        </is>
      </c>
      <c r="C1344" s="1" t="n">
        <v>53.99</v>
      </c>
      <c r="D1344" s="7" t="n">
        <f>HYPERLINK("https://www.somogyi.sk/product/zvukovy-projektor-prenosny-vodotesny-sb-2000-18333","https://www.somogyi.sk/product/zvukovy-projektor-prenosny-vodotesny-sb-2000-18333")</f>
        <v>0.0</v>
      </c>
      <c r="E1344" s="7" t="n">
        <f>HYPERLINK("https://www.somogyi.sk/productimages/product_main_images/small/18333.jpg","https://www.somogyi.sk/productimages/product_main_images/small/18333.jpg")</f>
        <v>0.0</v>
      </c>
      <c r="F1344" s="2" t="inlineStr">
        <is>
          <t>5999084963514</t>
        </is>
      </c>
      <c r="G1344" s="4" t="inlineStr">
        <is>
          <t xml:space="preserve"> • reproduktor: 2 x 52 mm širokopásmový   1 x pasívny basový reproduktor 
 • frekvenčné pásmo: 100 - 20.000 Hz 
 • výstupný výkon: 2 x 8 W (Pm) 
 •  
 • diaľkové ovládanie prehrávača hudby mobilných zariadení: áno 
 •  
 •  
 • doba prevádzky / nabíjania: ~10 h / ~3 h 
 •  
 • rozmery: 350 x 68 x 72 mm 
 • hmotnosť: 0,7 kg 
 • IP stupeň ochrany: IPX5</t>
        </is>
      </c>
    </row>
    <row r="1345">
      <c r="A1345" s="3" t="inlineStr">
        <is>
          <t>BT 7000</t>
        </is>
      </c>
      <c r="B1345" s="2" t="inlineStr">
        <is>
          <t>BoomBox, vodotesné</t>
        </is>
      </c>
      <c r="C1345" s="1" t="n">
        <v>123.9</v>
      </c>
      <c r="D1345" s="7" t="n">
        <f>HYPERLINK("https://www.somogyi.sk/product/boombox-vodotesne-bt-7000-18334","https://www.somogyi.sk/product/boombox-vodotesne-bt-7000-18334")</f>
        <v>0.0</v>
      </c>
      <c r="E1345" s="7" t="n">
        <f>HYPERLINK("https://www.somogyi.sk/productimages/product_main_images/small/18334.jpg","https://www.somogyi.sk/productimages/product_main_images/small/18334.jpg")</f>
        <v>0.0</v>
      </c>
      <c r="F1345" s="2" t="inlineStr">
        <is>
          <t>5999084963521</t>
        </is>
      </c>
      <c r="G1345" s="4" t="inlineStr">
        <is>
          <t xml:space="preserve"> • reproduktor: 2x výškový   2x stredobasový   2x pasívny basový reproduktor 
 • frekvenčné pásmo: 65 - 20.000 Hz 
 • výstupný výkon: 2 x 20 W   2 x 10 W (Pm) 
 • bezdrôtové BT spojenie: 5.3   BR   EDR / 10 m max.• Bluetooth 2.402-2.480 GHz ERP ≤2.5 mW 
 • prehrávateľné formáty: MP3 
 •  
 • diaľkové ovládanie prehrávača hudby mobilných zariadení: áno 
 •  
 • zabudovaný akumulátor: 4 x 1800 mAh (7.200 mAh) 
 • doba prevádzky / nabíjania: ~12 h / ~4 h 
 •  
 • rozmery: 310 x 152 x 118 mm 
 • hmotnosť: ~2,2 kg 
 • IP stupeň ochrany: IPX6</t>
        </is>
      </c>
    </row>
    <row r="1346">
      <c r="A1346" s="3" t="inlineStr">
        <is>
          <t>RRT 3B</t>
        </is>
      </c>
      <c r="B1346" s="2" t="inlineStr">
        <is>
          <t>Prenosné rádio, retro, MP3, Bluetooth, 3 pásmový</t>
        </is>
      </c>
      <c r="C1346" s="1" t="n">
        <v>54.99</v>
      </c>
      <c r="D1346" s="7" t="n">
        <f>HYPERLINK("https://www.somogyi.sk/product/prenosne-radio-retro-mp3-bluetooth-3-pasmovy-rrt-3b-15096","https://www.somogyi.sk/product/prenosne-radio-retro-mp3-bluetooth-3-pasmovy-rrt-3b-15096")</f>
        <v>0.0</v>
      </c>
      <c r="E1346" s="7" t="n">
        <f>HYPERLINK("https://www.somogyi.sk/productimages/product_main_images/small/15096.jpg","https://www.somogyi.sk/productimages/product_main_images/small/15096.jpg")</f>
        <v>0.0</v>
      </c>
      <c r="F1346" s="2" t="inlineStr">
        <is>
          <t>5999084931308</t>
        </is>
      </c>
      <c r="G1346" s="4" t="inlineStr">
        <is>
          <t xml:space="preserve"> • výstupný výkon: 2 x 3 W 
 • bezdrôtové BT spojenie: v2.1 + EDR / max.10 m • Bluetooth 2.402-2.480 GHz ERP ≤2.5 mW 
 • FM rádio: AM / FM / SW 
 • prehrávateľné formáty: MP3 
 • možnosť pripojiť pamäť: USB / micro SD / SD (max. 32 GB) 
 • stereo efekt: áno 
 • zvukové hlásenie pri zmene režimu: anglický jazyk 
 • káblový audio vstup: Ø3,5 mm jack 
 • zabudovaný akumulátor: 8 V / 1300 mAh (olovený) 
 • doba prevádzky / nabíjania: 8 - 12 h / max. 8 h 
 • príslušenstvo: sieťový kábel 
 • napájanie: 230 V~ / 6 V DC adaptér / 4 x D batéria / zabudovaný akumulátor 
 • rozmery: 270 x 200 x 130 mm</t>
        </is>
      </c>
    </row>
    <row r="1347">
      <c r="A1347" s="3" t="inlineStr">
        <is>
          <t>RRT 2B</t>
        </is>
      </c>
      <c r="B1347" s="2" t="inlineStr">
        <is>
          <t>Retro prenosné rádio, MP3-BT</t>
        </is>
      </c>
      <c r="C1347" s="1" t="n">
        <v>47.99</v>
      </c>
      <c r="D1347" s="7" t="n">
        <f>HYPERLINK("https://www.somogyi.sk/product/retro-prenosne-radio-mp3-bt-rrt-2b-16427","https://www.somogyi.sk/product/retro-prenosne-radio-mp3-bt-rrt-2b-16427")</f>
        <v>0.0</v>
      </c>
      <c r="E1347" s="7" t="n">
        <f>HYPERLINK("https://www.somogyi.sk/productimages/product_main_images/small/16427.jpg","https://www.somogyi.sk/productimages/product_main_images/small/16427.jpg")</f>
        <v>0.0</v>
      </c>
      <c r="F1347" s="2" t="inlineStr">
        <is>
          <t>5999084944599</t>
        </is>
      </c>
      <c r="G1347" s="4" t="inlineStr">
        <is>
          <t xml:space="preserve"> • bezdrôtové BT spojenie: v2.1 + EDR / max.10 m • Bluetooth 2.402-2.480 GHz ERP ≤2.5 mW 
 • FM rádio: áno 
 • prehrávateľné formáty: MP3 
 • možnosť pripojiť pamäť: USB / microSD 
 • káblový audio vstup: AUX IN 
 • doba prevádzky / nabíjania: 20 h / 10 h 
 • príslušenstvo: sieťový kábel 
 • rozmery: 260 x 180 x 120 mm</t>
        </is>
      </c>
    </row>
    <row r="1348">
      <c r="A1348" s="3" t="inlineStr">
        <is>
          <t>RRT 12B</t>
        </is>
      </c>
      <c r="B1348" s="2" t="inlineStr">
        <is>
          <t>Gramofón s multimediálnymi funkciami</t>
        </is>
      </c>
      <c r="C1348" s="1" t="n">
        <v>93.99</v>
      </c>
      <c r="D1348" s="7" t="n">
        <f>HYPERLINK("https://www.somogyi.sk/product/gramofon-s-multimedialnymi-funkciami-rrt-12b-16577","https://www.somogyi.sk/product/gramofon-s-multimedialnymi-funkciami-rrt-12b-16577")</f>
        <v>0.0</v>
      </c>
      <c r="E1348" s="7" t="n">
        <f>HYPERLINK("https://www.somogyi.sk/productimages/product_main_images/small/16577.jpg","https://www.somogyi.sk/productimages/product_main_images/small/16577.jpg")</f>
        <v>0.0</v>
      </c>
      <c r="F1348" s="2" t="inlineStr">
        <is>
          <t>5999084946098</t>
        </is>
      </c>
      <c r="G1348" s="4" t="inlineStr">
        <is>
          <t xml:space="preserve"> • digitálny displej: áno 
 • výstupný výkon: 2 x 5 W 
 • bezdrôtové BT spojenie: v2.1 + EDR / max.10 m • Bluetooth 2.402-2.480 GHz ERP ≤2.5 mW 
 • FM rádio: áno 
 • prehrávateľné formáty: MP3 / WMA 
 • možnosť pripojiť pamäť: USB / microSD 
 • káblový audio vstup: Ø3,5 mm jack 
 • káblový audio výstup: 2 x RCA 
 • príslušenstvo: 1 2 ks náhradná ihla, adaptér 
 •  
 • rozmery: 420 x 120 x 390 mm / 3,5 kg</t>
        </is>
      </c>
    </row>
    <row r="1349">
      <c r="A1349" s="3" t="inlineStr">
        <is>
          <t>RRT 11B</t>
        </is>
      </c>
      <c r="B1349" s="2" t="inlineStr">
        <is>
          <t>Retro kazetový rádioprijímač</t>
        </is>
      </c>
      <c r="C1349" s="1" t="n">
        <v>47.99</v>
      </c>
      <c r="D1349" s="7" t="n">
        <f>HYPERLINK("https://www.somogyi.sk/product/retro-kazetovy-radioprijimac-rrt-11b-15765","https://www.somogyi.sk/product/retro-kazetovy-radioprijimac-rrt-11b-15765")</f>
        <v>0.0</v>
      </c>
      <c r="E1349" s="7" t="n">
        <f>HYPERLINK("https://www.somogyi.sk/productimages/product_main_images/small/15765.jpg","https://www.somogyi.sk/productimages/product_main_images/small/15765.jpg")</f>
        <v>0.0</v>
      </c>
      <c r="F1349" s="2" t="inlineStr">
        <is>
          <t>5999084937997</t>
        </is>
      </c>
      <c r="G1349" s="4" t="inlineStr">
        <is>
          <t xml:space="preserve"> • 11 pásmový svetový AM-FM-SW prijímač 
 • dvojitý otočný gombík na jemné ladenie 
 • funkcia kazetového nahrávania a auto-stop 
 • integrovaný mikrofón 
 • MP3/WMA prehrávanie z USB/SD 
 • digitalizácia starých analógových nahrávok 
 • nahrávanie na kazetu alebo na USB/SD nosič zo všetkých dostupných zdrojov signálu 
 • v obidvoch prípadoch môžete nahrávať aj zvuk z mikrofónu alebo rádia 
 • digitalizácia starých magnetofónových kaziet do formátu MP3 na USB alebo SD nosič 
 • pripojovacia zásuvka pre slúchadlá: ∅3,5 mm 
 • napájanie: sieťový kábel je príslušenstvom, 4 x D/LR20 (1,5 V) batéria (nie je príslušenstvom), externý 6 V adaptér (nie je príslušenstvom) 
 • rozmery: 280 x 170 x 100 mm /1,5 kg</t>
        </is>
      </c>
    </row>
    <row r="1350">
      <c r="A1350" s="3" t="inlineStr">
        <is>
          <t>RPR 7B</t>
        </is>
      </c>
      <c r="B1350" s="2" t="inlineStr">
        <is>
          <t>Prenosné rádio, MP3-BT, 4 pásmové, AC/DC</t>
        </is>
      </c>
      <c r="C1350" s="1" t="n">
        <v>38.99</v>
      </c>
      <c r="D1350" s="7" t="n">
        <f>HYPERLINK("https://www.somogyi.sk/product/prenosne-radio-mp3-bt-4-pasmove-ac-dc-rpr-7b-17093","https://www.somogyi.sk/product/prenosne-radio-mp3-bt-4-pasmove-ac-dc-rpr-7b-17093")</f>
        <v>0.0</v>
      </c>
      <c r="E1350" s="7" t="n">
        <f>HYPERLINK("https://www.somogyi.sk/productimages/product_main_images/small/17093.jpg","https://www.somogyi.sk/productimages/product_main_images/small/17093.jpg")</f>
        <v>0.0</v>
      </c>
      <c r="F1350" s="2" t="inlineStr">
        <is>
          <t>5999084951252</t>
        </is>
      </c>
      <c r="G1350" s="4" t="inlineStr">
        <is>
          <t xml:space="preserve"> • farba: čierna 
 • výstupný výkon: 3 W max. 
 • bezdrôtové BT spojenie: v4.1 / max.10 m • Bluetooth 2.402-2.480 GHz ERP ≤2.5 mW 
 • FM rádio: áno 
 • prehrávateľné formáty: MP3 / WMA 
 • možnosť pripojiť pamäť: microSD max. 32 GB 
 • zabudovaný akumulátor: 4,75 V / 500 mAh 
 • doba prevádzky / nabíjania: 18 h / 8 h 
 • napájanie: 230 V~ / 50 Hz / 6 W 
 • rozmery: 225 x 130 x 70 mm</t>
        </is>
      </c>
    </row>
    <row r="1351">
      <c r="A1351" s="3" t="inlineStr">
        <is>
          <t>BT 5000</t>
        </is>
      </c>
      <c r="B1351" s="2" t="inlineStr">
        <is>
          <t>Prenosný Boom-Box</t>
        </is>
      </c>
      <c r="C1351" s="1" t="n">
        <v>77.99</v>
      </c>
      <c r="D1351" s="7" t="n">
        <f>HYPERLINK("https://www.somogyi.sk/product/prenosny-boom-box-bt-5000-17556","https://www.somogyi.sk/product/prenosny-boom-box-bt-5000-17556")</f>
        <v>0.0</v>
      </c>
      <c r="E1351" s="7" t="n">
        <f>HYPERLINK("https://www.somogyi.sk/productimages/product_main_images/small/17556.jpg","https://www.somogyi.sk/productimages/product_main_images/small/17556.jpg")</f>
        <v>0.0</v>
      </c>
      <c r="F1351" s="2" t="inlineStr">
        <is>
          <t>5999084955786</t>
        </is>
      </c>
      <c r="G1351" s="4" t="inlineStr">
        <is>
          <t xml:space="preserve"> • výstupný výkon: 2 x 25 W 
 • bezdrôtové BT spojenie: 5.0 / 10m max 
 • FM rádio: 87,5-108,0 MHz / 50 programov / automatické ladenie a uloženie 
 • stereo efekt: áno 
 • XTRA BASS: Dual-Bass reproduktory 
 • zabudovaný mikrofón: áno 
 • ozvučenie telefonického hovoru: áno 
 • káblový audio vstup: Ø3,5 mm jack 
 • zabudovaný akumulátor: Li-ion / 7,4 V / 3600 mAh 
 •  
 • napájanie: zabudovaný akumulátor (odporúčané nabíjačky: SA 2000UC, SA 24USB, SA 50USB) 
 • rozmery: 354 x 187 x 144 mm / 2,5 kg 
 • hmotnosť: 2,5 kg 
 • bezdrôtové BT spojenie: bezdrôtový BT TWS spojenie • v5.0 / max.10 m • Bluetooth 2.402-2.480 GHz ERP ≤2.5 mW 
 • MP3 prehrávač: áno 
 • zabudovaný zosilňovač: áno 
 • regulátor hlasitosti: áno</t>
        </is>
      </c>
    </row>
    <row r="1352">
      <c r="A1352" s="3" t="inlineStr">
        <is>
          <t>PCS 230</t>
        </is>
      </c>
      <c r="B1352" s="2" t="inlineStr">
        <is>
          <t>Pár multimediálny reproboxov</t>
        </is>
      </c>
      <c r="C1352" s="1" t="n">
        <v>11.99</v>
      </c>
      <c r="D1352" s="7" t="n">
        <f>HYPERLINK("https://www.somogyi.sk/product/par-multimedialny-reproboxov-pcs-230-17719","https://www.somogyi.sk/product/par-multimedialny-reproboxov-pcs-230-17719")</f>
        <v>0.0</v>
      </c>
      <c r="E1352" s="7" t="n">
        <f>HYPERLINK("https://www.somogyi.sk/productimages/product_main_images/small/17719.jpg","https://www.somogyi.sk/productimages/product_main_images/small/17719.jpg")</f>
        <v>0.0</v>
      </c>
      <c r="F1352" s="2" t="inlineStr">
        <is>
          <t>5999084957414</t>
        </is>
      </c>
      <c r="G1352" s="4" t="inlineStr">
        <is>
          <t xml:space="preserve"> • reproduktor: 2 x 2” (51mm) 
 • frekvenčné pásmo: 80 - 18000 Hz 
 • prevedenie reproboxu: aktívny stereo pár reproboxov 
 • výstupný výkon: 2 x 3 W 
 • bezdrôtové BT spojenie: v4.2 / max.5 m • Bluetooth 2.402-2.480 GHz ERP ≤2.5 mW 
 • stereo efekt: áno 
 • káblový audio vstup: Ø3,5 mm jack 
 •  
 • rozmery: (2x) 65 x 100 x 75mm / 0.35kg</t>
        </is>
      </c>
    </row>
    <row r="1353">
      <c r="A1353" s="3" t="inlineStr">
        <is>
          <t>BT DOG</t>
        </is>
      </c>
      <c r="B1353" s="2" t="inlineStr">
        <is>
          <t>Multimediálny reprobox pes</t>
        </is>
      </c>
      <c r="C1353" s="1" t="n">
        <v>26.99</v>
      </c>
      <c r="D1353" s="7" t="n">
        <f>HYPERLINK("https://www.somogyi.sk/product/multimedialny-reprobox-pes-bt-dog-17724","https://www.somogyi.sk/product/multimedialny-reprobox-pes-bt-dog-17724")</f>
        <v>0.0</v>
      </c>
      <c r="E1353" s="7" t="n">
        <f>HYPERLINK("https://www.somogyi.sk/productimages/product_main_images/small/17724.jpg","https://www.somogyi.sk/productimages/product_main_images/small/17724.jpg")</f>
        <v>0.0</v>
      </c>
      <c r="F1353" s="2" t="inlineStr">
        <is>
          <t>5999084957469</t>
        </is>
      </c>
      <c r="G1353" s="4" t="inlineStr">
        <is>
          <t xml:space="preserve"> • výstupný výkon: 5 W 
 • FM rádio: 87,5-108,0 MHz / 38 programov / automatické ladenie a uloženie 
 • prehrávateľné formáty: NMP3 / WAV 
 • možnosť pripojiť pamäť: USB / micro SD (FAT32, max. 32 GB) 
 • diaľkové ovládanie prehrávača hudby mobilných zariadení: áno 
 • zabudovaný akumulátor: Li-ion 3,7 V / 18650 
 • doba prevádzky / nabíjania: ~5h/3h 
 •  
 • rozmery: 115 x 200 x 200 mm / 0,42 kg</t>
        </is>
      </c>
    </row>
    <row r="1354">
      <c r="A1354" s="3" t="inlineStr">
        <is>
          <t>SAL 200BT</t>
        </is>
      </c>
      <c r="B1354" s="2" t="inlineStr">
        <is>
          <t>Multimediálny pár reproboxov, 20 cm</t>
        </is>
      </c>
      <c r="C1354" s="1" t="n">
        <v>225.9</v>
      </c>
      <c r="D1354" s="7" t="n">
        <f>HYPERLINK("https://www.somogyi.sk/product/multimedialny-par-reproboxov-20-cm-sal-200bt-17907","https://www.somogyi.sk/product/multimedialny-par-reproboxov-20-cm-sal-200bt-17907")</f>
        <v>0.0</v>
      </c>
      <c r="E1354" s="7" t="n">
        <f>HYPERLINK("https://www.somogyi.sk/productimages/product_main_images/small/17907.jpg","https://www.somogyi.sk/productimages/product_main_images/small/17907.jpg")</f>
        <v>0.0</v>
      </c>
      <c r="F1354" s="2" t="inlineStr">
        <is>
          <t>5999084959296</t>
        </is>
      </c>
      <c r="G1354" s="4" t="inlineStr">
        <is>
          <t xml:space="preserve"> • frekvenčné pásmo: 35 – 20.000 Hz 
 • farba: čierna 
 • prevedenie reproboxu: 3 pásmový bass reflex 
 • digitálny displej: áno 
 • výstupný výkon: 2 x 80 W / 60 W (hudobný / menovitý) 
 • bezdrôtové BT spojenie: Bluetooth 2.402-2.480 GHz ERP ≤2.5 mW (max.10 m) 
 • FM rádio: automatické vyhľadávanie, uloženie rozhl. staníc 
 • prehrávateľné formáty: MP3, WMA, FLAC, APE, WAV 
 • možnosť pripojiť pamäť: USB / SD (FAT32, max.32 GB) 
 • stereo efekt: áno 
 • mikrofónový vstup: 2 x Ø6,3 mm, jack 
 • káblový audio vstup: 2 x RCA 
 • napájanie: 230 V~ / 50 Hz • napájanie diaľkového ovládača: 2 x AAA batéria, nie je príslušenstvom 
 • rozmery: 140 x 600 x 350 mm (2 ks) / hmotnosť: 10,2 kg   8,4 kg 
 • hmotnosť: 10,2 kg   8,4 kg</t>
        </is>
      </c>
    </row>
    <row r="1355">
      <c r="A1355" s="3" t="inlineStr">
        <is>
          <t>BTA 215</t>
        </is>
      </c>
      <c r="B1355" s="2" t="inlineStr">
        <is>
          <t>Bezdrôtový BT zosilňovač</t>
        </is>
      </c>
      <c r="C1355" s="1" t="n">
        <v>56.99</v>
      </c>
      <c r="D1355" s="7" t="n">
        <f>HYPERLINK("https://www.somogyi.sk/product/bezdrotovy-bt-zosilnovac-bta-215-17856","https://www.somogyi.sk/product/bezdrotovy-bt-zosilnovac-bta-215-17856")</f>
        <v>0.0</v>
      </c>
      <c r="E1355" s="7" t="n">
        <f>HYPERLINK("https://www.somogyi.sk/productimages/product_main_images/small/17856.jpg","https://www.somogyi.sk/productimages/product_main_images/small/17856.jpg")</f>
        <v>0.0</v>
      </c>
      <c r="F1355" s="2" t="inlineStr">
        <is>
          <t>5999084958787</t>
        </is>
      </c>
      <c r="G1355" s="4" t="inlineStr">
        <is>
          <t xml:space="preserve"> • frekvenčné pásmo: 20 - 20.000 Hz 
 • výstupný výkon: 2 x 15 W / 4 Ohm • 2 x 10 W / 8 Ohm 
 • stereo efekt: áno 
 • regulátor vysokých a hlbokých tónov: hlasitosť a tón je možné nastaviť na zdroji signálu BT 
 • napájanie: 230 V~ / 50 Hz 
 • rozmery: 155 x 36 x 54 mm / 0,13 kg 
 • hmotnosť: 0,13 kg</t>
        </is>
      </c>
    </row>
    <row r="1356">
      <c r="A1356" s="3" t="inlineStr">
        <is>
          <t>SAL 250BT</t>
        </is>
      </c>
      <c r="B1356" s="2" t="inlineStr">
        <is>
          <t>Multimediálny pár reproboxov, 25 cm</t>
        </is>
      </c>
      <c r="C1356" s="1" t="n">
        <v>304.9</v>
      </c>
      <c r="D1356" s="7" t="n">
        <f>HYPERLINK("https://www.somogyi.sk/product/multimedialny-par-reproboxov-25-cm-sal-250bt-17911","https://www.somogyi.sk/product/multimedialny-par-reproboxov-25-cm-sal-250bt-17911")</f>
        <v>0.0</v>
      </c>
      <c r="E1356" s="7" t="n">
        <f>HYPERLINK("https://www.somogyi.sk/productimages/product_main_images/small/17911.jpg","https://www.somogyi.sk/productimages/product_main_images/small/17911.jpg")</f>
        <v>0.0</v>
      </c>
      <c r="F1356" s="2" t="inlineStr">
        <is>
          <t>5999084959333</t>
        </is>
      </c>
      <c r="G1356" s="4" t="inlineStr">
        <is>
          <t xml:space="preserve"> • frekvenčné pásmo: 30 - 20.000 Hz 
 • farba: čierna 
 • prevedenie reproboxu: 3 pásmový bass reflex 
 • digitálny displej: áno 
 • výstupný výkon: 2 x 120 W / 100 W  (hudobný / menovitý) 
 • bezdrôtové BT spojenie: áno 
 • FM rádio: automatické a manuálne vyhľadávanie, uloženie rozhl. staníc 
 • prehrávateľné formáty: MP3, WMA, FLAC, APE, WAV 
 • možnosť pripojiť pamäť: USB / SD (FAT32, max.32 GB) 
 • stereo efekt: áno 
 • mikrofónový vstup: 2 x Ø6,3 mm, jack 
 • káblový audio vstup: 2 x RCA 
 • napájanie: 230 V~ / 50 Hz • napájanie diaľkového ovládača: 2 x AAA batéria, nie je príslušenstvom 
 • rozmery: 140 x 900 x 350 mm (2 ks) / hmotnosť: 12,8 kg   9,8 kg 
 • hmotnosť: 12,8 kg   9,8 kg</t>
        </is>
      </c>
    </row>
    <row r="1357">
      <c r="A1357" s="3" t="inlineStr">
        <is>
          <t>BTA 250</t>
        </is>
      </c>
      <c r="B1357" s="2" t="inlineStr">
        <is>
          <t>Multimediálny zosilňovač, 2x50W, BT-FM-USB</t>
        </is>
      </c>
      <c r="C1357" s="1" t="n">
        <v>99.99</v>
      </c>
      <c r="D1357" s="7" t="n">
        <f>HYPERLINK("https://www.somogyi.sk/product/multimedialny-zosilnovac-2x50w-bt-fm-usb-bta-250-17963","https://www.somogyi.sk/product/multimedialny-zosilnovac-2x50w-bt-fm-usb-bta-250-17963")</f>
        <v>0.0</v>
      </c>
      <c r="E1357" s="7" t="n">
        <f>HYPERLINK("https://www.somogyi.sk/productimages/product_main_images/small/17963.jpg","https://www.somogyi.sk/productimages/product_main_images/small/17963.jpg")</f>
        <v>0.0</v>
      </c>
      <c r="F1357" s="2" t="inlineStr">
        <is>
          <t>5999084959852</t>
        </is>
      </c>
      <c r="G1357" s="4" t="inlineStr">
        <is>
          <t xml:space="preserve"> • frekvenčné pásmo: 20 - 20.000 Hz 
 • výstupný výkon: PM 2 x 50 W / 4 Ohm • PM 2 x 25 W / 8 Ohm 
 • FM rádio: automatické vyhľadávanie staníc 
 • prehrávateľné formáty: MP3 / WMA / FLAC / WAV 
 • možnosť pripojiť pamäť: USB (FAT32, max. 32GB) 
 • stereo efekt: áno 
 • mikrofónový vstup: 2 x Ø6,3 mm, jack 
 • káblový audio vstup: 2x RCA stereo audio vstup (AUX) • 2x RCA stereo audio vstup (CD) • digitálny koaxiálny vstup (RCA) • digitálny optický vstup (TOSLINK) 
 • káblový audio výstup: 1x RCA výstup pre aktívny basový reproduktor 
 • napájanie: 230 V~ / 50 HzV • napájanie diaľkového ovládača: 2 x AAA (1,5 V) batéria, nie je príslušenstvom 
 • rozmery: 200 x 65 x 150/170 mm / 0,9 kg 
 • hmotnosť: 0,9 kg</t>
        </is>
      </c>
    </row>
    <row r="1358">
      <c r="A1358" s="3" t="inlineStr">
        <is>
          <t>BT 3000</t>
        </is>
      </c>
      <c r="B1358" s="2" t="inlineStr">
        <is>
          <t>Prenosný Boom-Box</t>
        </is>
      </c>
      <c r="C1358" s="1" t="n">
        <v>50.99</v>
      </c>
      <c r="D1358" s="7" t="n">
        <f>HYPERLINK("https://www.somogyi.sk/product/prenosny-boom-box-bt-3000-18003","https://www.somogyi.sk/product/prenosny-boom-box-bt-3000-18003")</f>
        <v>0.0</v>
      </c>
      <c r="E1358" s="7" t="n">
        <f>HYPERLINK("https://www.somogyi.sk/productimages/product_main_images/small/18003.jpg","https://www.somogyi.sk/productimages/product_main_images/small/18003.jpg")</f>
        <v>0.0</v>
      </c>
      <c r="F1358" s="2" t="inlineStr">
        <is>
          <t>5999084960254</t>
        </is>
      </c>
      <c r="G1358" s="4" t="inlineStr">
        <is>
          <t xml:space="preserve"> • reproduktor: 2.0 Stereo   Dual-Bass reproduktory 
 • frekvenčné pásmo: 100 – 19.000 Hz 
 • prevedenie reproboxu: dynamic-bass, uzavretý box 
 • výstupný výkon: 2 x 16 W 
 • bezdrôtové BT spojenie: v5.1 / max.10 m • Bluetooth 2.402-2.480 GHz ERP ≤2.5 mW 
 • prehrávateľné formáty: MP3 
 • možnosť pripojiť pamäť: USB (FAT32, max. 32 GB) 
 •  
 • zabudovaný mikrofón: áno 
 • ozvučenie telefonického hovoru: áno 
 • káblový audio vstup: Ø3,5 mm jack 
 • zabudovaný akumulátor: Li-ion / 3,7 V / 2200 mAh 
 • doba prevádzky / nabíjania: ~10h / ~4,5h 
 • napájanie: zabudovaný akumulátor 
 • rozmery: 301 x 130 x 125 mm 
 • hmotnosť: 1,2 kg 
 • opcionálne príslušenstvo: odporúčané nabíjačky: SA 24USB, SA 50USB</t>
        </is>
      </c>
    </row>
    <row r="1359">
      <c r="A1359" s="3" t="inlineStr">
        <is>
          <t>RRT 4B</t>
        </is>
      </c>
      <c r="B1359" s="2" t="inlineStr">
        <is>
          <t>Retro rádioprijímac a multimediálny prehrávac</t>
        </is>
      </c>
      <c r="C1359" s="1" t="n">
        <v>62.99</v>
      </c>
      <c r="D1359" s="7" t="n">
        <f>HYPERLINK("https://www.somogyi.sk/product/retro-radioprijimac-a-multimedialny-prehravac-rrt-4b-16337","https://www.somogyi.sk/product/retro-radioprijimac-a-multimedialny-prehravac-rrt-4b-16337")</f>
        <v>0.0</v>
      </c>
      <c r="E1359" s="7" t="n">
        <f>HYPERLINK("https://www.somogyi.sk/productimages/product_main_images/small/16337.jpg","https://www.somogyi.sk/productimages/product_main_images/small/16337.jpg")</f>
        <v>0.0</v>
      </c>
      <c r="F1359" s="2" t="inlineStr">
        <is>
          <t>5999084943691</t>
        </is>
      </c>
      <c r="G1359" s="4" t="inlineStr">
        <is>
          <t xml:space="preserve"> • bezdrôtové BT spojenie: v2.1 + EDR / max.10 m • Bluetooth 2.402-2.480 GHz ERP ≤2.5 mW 
 • FM rádio: áno 
 • prehrávateľné formáty: MP3 
 • možnosť pripojiť pamäť: USB / microSD 
 • regulátor vysokých a hlbokých tónov: áno 
 • káblový audio vstup: AUX IN 
 • zásuvka pre slúchadlo: Ø3,5 mm jack 
 • zabudovaný akumulátor: 8V 800mAh 
 • doba prevádzky / nabíjania: 16 / 8 h 
 • príslušenstvo: sieťový kábel 
 • diaľkový ovládač (CR2025 gombíková batéria) 
 • rozmery: 320 x 210 x 150 mm</t>
        </is>
      </c>
    </row>
    <row r="1360">
      <c r="A1360" s="3" t="inlineStr">
        <is>
          <t>BT 1000</t>
        </is>
      </c>
      <c r="B1360" s="2" t="inlineStr">
        <is>
          <t>BoomBox</t>
        </is>
      </c>
      <c r="C1360" s="1" t="n">
        <v>22.99</v>
      </c>
      <c r="D1360" s="7" t="n">
        <f>HYPERLINK("https://www.somogyi.sk/product/boombox-bt-1000-18185","https://www.somogyi.sk/product/boombox-bt-1000-18185")</f>
        <v>0.0</v>
      </c>
      <c r="E1360" s="7" t="n">
        <f>HYPERLINK("https://www.somogyi.sk/productimages/product_main_images/small/18185.jpg","https://www.somogyi.sk/productimages/product_main_images/small/18185.jpg")</f>
        <v>0.0</v>
      </c>
      <c r="F1360" s="2" t="inlineStr">
        <is>
          <t>5999084962074</t>
        </is>
      </c>
      <c r="G1360" s="4" t="inlineStr">
        <is>
          <t xml:space="preserve"> • frekvenčné pásmo: 250 - 19.000 Hz 
 •  
 • výstupný výkon: 5 W 
 • FM rádio: automatické vyhľadávanie staníc, uloženie 
 • prehrávateľné formáty: MP3 
 • možnosť pripojiť pamäť: USB / micro SD (FAT32, max.32 GB) 
 • XTRA BASS: 1x passive Sub-Bass 
 • diaľkové ovládanie prehrávača hudby mobilných zariadení: áno 
 • zabudovaný mikrofón: áno 
 • ozvučenie telefonického hovoru: áno 
 • zvukové hlásenie pri zmene režimu: v anglickom jazyku 
 • zabudovaný akumulátor: Li-ion 18650 / 3,7 V / ~1800 mAh 
 •  
 • napájanie: zabudovaný akumulátor s automatickým nabíjaním 
 • rozmery: 110 x 131 x 110 mm 
 • hmotnosť: 0,52 kg</t>
        </is>
      </c>
    </row>
    <row r="1361">
      <c r="A1361" s="6" t="inlineStr">
        <is>
          <t xml:space="preserve">   Zvuková technika / Multimediálny / orchestrový reprobox</t>
        </is>
      </c>
      <c r="B1361" s="6" t="inlineStr">
        <is>
          <t/>
        </is>
      </c>
      <c r="C1361" s="6" t="inlineStr">
        <is>
          <t/>
        </is>
      </c>
      <c r="D1361" s="6" t="inlineStr">
        <is>
          <t/>
        </is>
      </c>
      <c r="E1361" s="6" t="inlineStr">
        <is>
          <t/>
        </is>
      </c>
      <c r="F1361" s="6" t="inlineStr">
        <is>
          <t/>
        </is>
      </c>
      <c r="G1361" s="6" t="inlineStr">
        <is>
          <t/>
        </is>
      </c>
    </row>
    <row r="1362">
      <c r="A1362" s="3" t="inlineStr">
        <is>
          <t>PAR 219BT</t>
        </is>
      </c>
      <c r="B1362" s="2" t="inlineStr">
        <is>
          <t>Prenosný party reprobox</t>
        </is>
      </c>
      <c r="C1362" s="1" t="n">
        <v>124.9</v>
      </c>
      <c r="D1362" s="7" t="n">
        <f>HYPERLINK("https://www.somogyi.sk/product/prenosny-party-reprobox-par-219bt-16913","https://www.somogyi.sk/product/prenosny-party-reprobox-par-219bt-16913")</f>
        <v>0.0</v>
      </c>
      <c r="E1362" s="7" t="n">
        <f>HYPERLINK("https://www.somogyi.sk/productimages/product_main_images/small/16913.jpg","https://www.somogyi.sk/productimages/product_main_images/small/16913.jpg")</f>
        <v>0.0</v>
      </c>
      <c r="F1362" s="2" t="inlineStr">
        <is>
          <t>5999084949457</t>
        </is>
      </c>
      <c r="G1362" s="4" t="inlineStr">
        <is>
          <t xml:space="preserve"> • prevedenie reproboxu: 2 pásmový bass-reflex 
 • multifunkčný digitálny displej: áno 
 • bezdrôtové BT spojenie: v4.2 / 10m max. • Bluetooth 2.402-2.480 GHz ERP ≤2.5 mW 
 • FM rádio: automatické ladenie, uloženie staníc 
 • MP3 prehrávač: áno 
 • prehrávateľné formáty: MP3 / WMA 
 • zabudovaný zosilňovač: áno 
 • výstupný výkon: 80 W / 60 W (hudobný / menovitý) 
 • KARAOKE funkcia: áno 
 • pripojiteľné zariadenie: USB / microSD, (max. 32 GB) 
 • pripojenie  USB/SD zariadenia: áno 
 • echo efekt mikrofónu: áno 
 • regulátor hlasitosti: áno 
 • regulátor vysokých a hlbokých tónov: áno 
 • mikrofónový vstup: 1 x Ø6,3 mm, jack 
 • audio vstup: MIC, GUITAR, AUX 
 • frekvenčné pásmo: 45 - 20000 Hz 
 • materiál reproboxu: masívny plast 
 • rukoväť: áno 
 • zabudovaný akumulátor: áno 
 • napájanie: zabudovaný akumulátor 
 • rozmer / hmotnosť: 290/250 x 580x300 mm / 6,6 kg</t>
        </is>
      </c>
    </row>
    <row r="1363">
      <c r="A1363" s="3" t="inlineStr">
        <is>
          <t>PAR 20BT</t>
        </is>
      </c>
      <c r="B1363" s="2" t="inlineStr">
        <is>
          <t>Party reprobox, 2-pásmový,
so zabud. akumulátorom a LED svetlom</t>
        </is>
      </c>
      <c r="C1363" s="1" t="n">
        <v>80.99</v>
      </c>
      <c r="D1363" s="7" t="n">
        <f>HYPERLINK("https://www.somogyi.sk/product/party-reprobox-2-pasmovy-so-zabud-akumulatorom-a-led-svetlom-par-20bt-16384","https://www.somogyi.sk/product/party-reprobox-2-pasmovy-so-zabud-akumulatorom-a-led-svetlom-par-20bt-16384")</f>
        <v>0.0</v>
      </c>
      <c r="E1363" s="7" t="n">
        <f>HYPERLINK("https://www.somogyi.sk/productimages/product_main_images/small/16384.jpg","https://www.somogyi.sk/productimages/product_main_images/small/16384.jpg")</f>
        <v>0.0</v>
      </c>
      <c r="F1363" s="2" t="inlineStr">
        <is>
          <t>5999084944162</t>
        </is>
      </c>
      <c r="G1363" s="4" t="inlineStr">
        <is>
          <t xml:space="preserve"> • prevedenie reproboxu: 2 pásmový bas-reflex 
 • multifunkčný digitálny displej: áno 
 • bezdrôtové BT spojenie: v4.2 / max.10 m • Bluetooth 2.402-2.480 GHz ERP ≤2.5 mW 
 • FM rádio: áno 
 • MP3 prehrávač: áno 
 • prehrávateľné formáty: MP3 
 • zabudovaný zosilňovač: áno 
 • výstupný výkon: 40 W / 25 W (hudobný / menovitý) 
 • KARAOKE funkcia: áno 
 • regulátor hlasitosti: áno 
 • regulátor vysokých a hlbokých tónov: equalizér funkcia 
 • mikrofónový vstup: 1 x Ø6,3 mm, jack 
 • audio vstup: 1 x Ø3,5 mm, jack 
 • impedancia reproduktora: 3 Ohm 
 • frekvenčné pásmo: 50 - 20000 Hz 
 • zabudovaný akumulátor: áno 
 • napájanie: zabudovaný akumulátor 
 • rozmer / hmotnosť: 300 x 420 x 220 mm / 2,7 kg</t>
        </is>
      </c>
    </row>
    <row r="1364">
      <c r="A1364" s="3" t="inlineStr">
        <is>
          <t>PAX 42BT</t>
        </is>
      </c>
      <c r="B1364" s="2" t="inlineStr">
        <is>
          <t>Aktívny orchestrový reprobox, 40 cm</t>
        </is>
      </c>
      <c r="C1364" s="1" t="n">
        <v>304.9</v>
      </c>
      <c r="D1364" s="7" t="n">
        <f>HYPERLINK("https://www.somogyi.sk/product/aktivny-orchestrovy-reprobox-40-cm-pax-42bt-18186","https://www.somogyi.sk/product/aktivny-orchestrovy-reprobox-40-cm-pax-42bt-18186")</f>
        <v>0.0</v>
      </c>
      <c r="E1364" s="7" t="n">
        <f>HYPERLINK("https://www.somogyi.sk/productimages/product_main_images/small/18186.jpg","https://www.somogyi.sk/productimages/product_main_images/small/18186.jpg")</f>
        <v>0.0</v>
      </c>
      <c r="F1364" s="2" t="inlineStr">
        <is>
          <t>5999084962081</t>
        </is>
      </c>
      <c r="G1364" s="4" t="inlineStr">
        <is>
          <t xml:space="preserve"> • prevedenie reproboxu: 2-pásmový basreflex 
 • multifunkčný digitálny displej: áno 
 • bezdrôtové BT spojenie: BT TWS spojenie (v5.0 / max.10 m) • Bluetooth 2.402-2.480 GHz ERP ≤2.5 mW 
 • FM rádio: automatické vyhľadávanie a uloženie staníc 
 • prehrávateľné formáty: MP3-WMA-FLAC-WAV-APE 
 • zabudovaný zosilňovač: áno 
 • výstupný výkon: Pm / Pn: 400 / 250 W 
 • pripojiteľné zariadenie: USB/SD, BT, FM, MIC, LINE 
 • regulátor hlasitosti: áno 
 • mikrofónový vstup: ∅6,3 mm   XLR 
 • audio vstup: 2 x RCA   XLR 
 •  
 • impedancia reproduktora: 4 Ω 
 • frekvenčné pásmo: 35 - 20.000 Hz 
 • materiál reproboxu: ABS plast 
 • rukoväť: áno 
 • možnosť pripevnenia na stojan: áno (HT 900, opcia) 
 • napájanie: 230 V~ / 50 Hz 
 • rozmer / hmotnosť: 45 x 71 x 37 cm / 18,5 kg 
 • priemer tyče: ∅35 mm</t>
        </is>
      </c>
    </row>
    <row r="1365">
      <c r="A1365" s="3" t="inlineStr">
        <is>
          <t>PAX 42PRO</t>
        </is>
      </c>
      <c r="B1365" s="2" t="inlineStr">
        <is>
          <t>Orchestrový reprobox, 40 cm</t>
        </is>
      </c>
      <c r="C1365" s="1" t="n">
        <v>207.9</v>
      </c>
      <c r="D1365" s="7" t="n">
        <f>HYPERLINK("https://www.somogyi.sk/product/orchestrovy-reprobox-40-cm-pax-42pro-18187","https://www.somogyi.sk/product/orchestrovy-reprobox-40-cm-pax-42pro-18187")</f>
        <v>0.0</v>
      </c>
      <c r="E1365" s="7" t="n">
        <f>HYPERLINK("https://www.somogyi.sk/productimages/product_main_images/small/18187.jpg","https://www.somogyi.sk/productimages/product_main_images/small/18187.jpg")</f>
        <v>0.0</v>
      </c>
      <c r="F1365" s="2" t="inlineStr">
        <is>
          <t>5999084962098</t>
        </is>
      </c>
      <c r="G1365" s="4" t="inlineStr">
        <is>
          <t xml:space="preserve"> • prevedenie reproboxu: 2-pásmový basreflex 
 • výstupný výkon: Pm / Pn: 400 / 250 W 
 • impedancia reproduktora: N8 Ω 
 • frekvenčné pásmo: 35 - 20.000 Hz 
 • materiál reproboxu: ABS plast 
 • rukoväť: áno 
 • možnosť pripevnenia na stojan: áno (HT 900, opcia) 
 • rozmer / hmotnosť: 45 x 71 x 37 cm / 16,5 kg 
 • priemer tyče: ∅35 mm</t>
        </is>
      </c>
    </row>
    <row r="1366">
      <c r="A1366" s="3" t="inlineStr">
        <is>
          <t>PAR 182BT</t>
        </is>
      </c>
      <c r="B1366" s="2" t="inlineStr">
        <is>
          <t>Prenosný párty reprobox</t>
        </is>
      </c>
      <c r="C1366" s="1" t="n">
        <v>62.99</v>
      </c>
      <c r="D1366" s="7" t="n">
        <f>HYPERLINK("https://www.somogyi.sk/product/prenosny-party-reprobox-par-182bt-17675","https://www.somogyi.sk/product/prenosny-party-reprobox-par-182bt-17675")</f>
        <v>0.0</v>
      </c>
      <c r="E1366" s="7" t="n">
        <f>HYPERLINK("https://www.somogyi.sk/productimages/product_main_images/small/17675.jpg","https://www.somogyi.sk/productimages/product_main_images/small/17675.jpg")</f>
        <v>0.0</v>
      </c>
      <c r="F1366" s="2" t="inlineStr">
        <is>
          <t>5999084956974</t>
        </is>
      </c>
      <c r="G1366" s="4" t="inlineStr">
        <is>
          <t xml:space="preserve"> • prevedenie reproboxu: 2-pásmový bass reflex 
 • multifunkčný digitálny displej: alfanumerický LED displej 
 • bezdrôtové BT spojenie: bezdrôtový BT TWS spojenie (5.0 / 10 m. max.) • Bluetooth 2.402-2.480 GHz ERP ≤2.5 mW 
 • FM rádio: 87,5-108,0 MHz / 50 programov / automatické ladenie a uloženie 
 • MP3 prehrávač: áno 
 • prehrávateľné formáty: MP3 / WMA / WAV 
 • zabudovaný zosilňovač: áno 
 • výstupný výkon: 50 / 30 W (hudobný / menovitý) 
 • KARAOKE funkcia: áno 
 • pripojiteľné zariadenie: USB / microSD, (FAT32, max. 64 GB) 
 • regulátor hlasitosti: áno 
 • regulátor vysokých a hlbokých tónov: EQ v režime MP3 
 • mikrofónový vstup: ∅6,3 mm mikrofónová zásuvka 
 • audio vstup: ∅3,5 mm AUX audio vstup 
 • frekvenčné pásmo: 60 - 20000 Hz 
 • zabudovaný akumulátor: Li-ion / 3,7V / 2000mAh 
 • napájanie: zabudovaný akumulátor / diaľkový ovládač: 2xAAA (1,5V) batéria, nie je príslušenstvom 
 • rozmer / hmotnosť: 250 x 600 x 245mm / 3,4kg 
 • materiál: plast</t>
        </is>
      </c>
    </row>
    <row r="1367">
      <c r="A1367" s="3" t="inlineStr">
        <is>
          <t>HT 901</t>
        </is>
      </c>
      <c r="B1367" s="2" t="inlineStr">
        <is>
          <t>Objímka k stojanu reproboxov</t>
        </is>
      </c>
      <c r="C1367" s="1" t="n">
        <v>8.09</v>
      </c>
      <c r="D1367" s="7" t="n">
        <f>HYPERLINK("https://www.somogyi.sk/product/objimka-k-stojanu-reproboxov-ht-901-8009","https://www.somogyi.sk/product/objimka-k-stojanu-reproboxov-ht-901-8009")</f>
        <v>0.0</v>
      </c>
      <c r="E1367" s="7" t="n">
        <f>HYPERLINK("https://www.somogyi.sk/productimages/product_main_images/small/08009.jpg","https://www.somogyi.sk/productimages/product_main_images/small/08009.jpg")</f>
        <v>0.0</v>
      </c>
      <c r="F1367" s="2" t="inlineStr">
        <is>
          <t>5998312769645</t>
        </is>
      </c>
      <c r="G1367" s="4" t="inlineStr">
        <is>
          <t xml:space="preserve"> • nosnosť: 40 kg 
 • priemer tyče: Ø36 x 99 mm, podstavec:  Ø110 mm</t>
        </is>
      </c>
    </row>
    <row r="1368">
      <c r="A1368" s="3" t="inlineStr">
        <is>
          <t>PAB 25BT</t>
        </is>
      </c>
      <c r="B1368" s="2" t="inlineStr">
        <is>
          <t>Prenosný orchestrový reprobox, 25 cm, aku, Bluetooth, LED</t>
        </is>
      </c>
      <c r="C1368" s="1" t="n">
        <v>154.9</v>
      </c>
      <c r="D1368" s="7" t="n">
        <f>HYPERLINK("https://www.somogyi.sk/product/prenosny-orchestrovy-reprobox-25-cm-aku-bluetooth-led-pab-25bt-17470","https://www.somogyi.sk/product/prenosny-orchestrovy-reprobox-25-cm-aku-bluetooth-led-pab-25bt-17470")</f>
        <v>0.0</v>
      </c>
      <c r="E1368" s="7" t="n">
        <f>HYPERLINK("https://www.somogyi.sk/productimages/product_main_images/small/17470.jpg","https://www.somogyi.sk/productimages/product_main_images/small/17470.jpg")</f>
        <v>0.0</v>
      </c>
      <c r="F1368" s="2" t="inlineStr">
        <is>
          <t>5999084954925</t>
        </is>
      </c>
      <c r="G1368" s="4" t="inlineStr">
        <is>
          <t xml:space="preserve"> • prevedenie reproboxu: 2 pásmový bass-reflex 
 • multifunkčný digitálny displej: áno 
 • bezdrôtové BT spojenie: áno, 4.2 / 10 m max. 
 • FM rádio: automatické ladenie, uloženie staníc 
 • MP3 prehrávač: áno 
 • prehrávateľné formáty: MP3 / WMA 
 • výstupný výkon: 80 / 60 W (Pm / Pn) 
 • KARAOKE funkcia: áno 
 • pripojiteľné zariadenie: USB/microSD/AUX/MIC 
 • pripojenie  USB/SD zariadenia: nie 
 • echo efekt mikrofónu: áno 
 • regulátor hlasitosti: áno 
 • mikrofónový vstup: Ø6,3 mm bezdrôtový mikrofón 
 • audio vstup: Ø3,5 mm, jack 
 • impedancia reproduktora: 4 Ω 
 • frekvenčné pásmo: 50 - 20.000 Hz 
 • možnosť pripevnenia na stojan: áno (HT 900, opcia) 
 • zabudovaný akumulátor: Li-ion / 7,4 V / 1800 mAh 
 •  
 • rozmer / hmotnosť: ~320 x 460 x 320 mm / ~4,8 kg 
 • priemer tyče: Ø 35 mm</t>
        </is>
      </c>
    </row>
    <row r="1369">
      <c r="A1369" s="3" t="inlineStr">
        <is>
          <t>HT 900</t>
        </is>
      </c>
      <c r="B1369" s="2" t="inlineStr">
        <is>
          <t>Stojan k orchestrovému reproboxu</t>
        </is>
      </c>
      <c r="C1369" s="1" t="n">
        <v>38.99</v>
      </c>
      <c r="D1369" s="7" t="n">
        <f>HYPERLINK("https://www.somogyi.sk/product/stojan-k-orchestrovemu-reproboxu-ht-900-7201","https://www.somogyi.sk/product/stojan-k-orchestrovemu-reproboxu-ht-900-7201")</f>
        <v>0.0</v>
      </c>
      <c r="E1369" s="7" t="n">
        <f>HYPERLINK("https://www.somogyi.sk/productimages/product_main_images/small/07201.jpg","https://www.somogyi.sk/productimages/product_main_images/small/07201.jpg")</f>
        <v>0.0</v>
      </c>
      <c r="F1369" s="2" t="inlineStr">
        <is>
          <t>5998312761939</t>
        </is>
      </c>
      <c r="G1369" s="4" t="inlineStr">
        <is>
          <t xml:space="preserve"> • rozmer / hmotnosť: výška:  110 - 180 cm / 2,3 kg 
 • nosnosť: 40 kg 
 • materiál: železo + hliník 
 • priemer tyče: Ø 35 mm</t>
        </is>
      </c>
    </row>
    <row r="1370">
      <c r="A1370" s="3" t="inlineStr">
        <is>
          <t>BT WORK</t>
        </is>
      </c>
      <c r="B1370" s="2" t="inlineStr">
        <is>
          <t>Pracovné rádio a multimediány reprobox</t>
        </is>
      </c>
      <c r="C1370" s="1" t="n">
        <v>60.99</v>
      </c>
      <c r="D1370" s="7" t="n">
        <f>HYPERLINK("https://www.somogyi.sk/product/pracovne-radio-a-multimediany-reprobox-bt-work-17278","https://www.somogyi.sk/product/pracovne-radio-a-multimediany-reprobox-bt-work-17278")</f>
        <v>0.0</v>
      </c>
      <c r="E1370" s="7" t="n">
        <f>HYPERLINK("https://www.somogyi.sk/productimages/product_main_images/small/17278.jpg","https://www.somogyi.sk/productimages/product_main_images/small/17278.jpg")</f>
        <v>0.0</v>
      </c>
      <c r="F1370" s="2" t="inlineStr">
        <is>
          <t>5999084953003</t>
        </is>
      </c>
      <c r="G1370" s="4" t="inlineStr">
        <is>
          <t xml:space="preserve"> • multifunkčný digitálny displej: áno 
 • bezdrôtové BT spojenie: v4.2 / max.10 m • Bluetooth 2.402-2.480 GHz ERP ≤2.5 mW 
 • FM rádio: automatické ladenie, uloženie staníc 
 • MP3 prehrávač: áno 
 • prehrávateľné formáty: MP3 
 • zabudovaný zosilňovač: áno 
 • výstupný výkon: 25 W 
 • KARAOKE funkcia: áno 
 • pripojiteľné zariadenie: USB (FAT32, max. 32 GB) 
 • echo efekt mikrofónu: nie 
 • regulátor hlasitosti: áno 
 • ∅6,3 mm 
 • audio vstup: ∅3,5 mm 
 • rozmer reproduktora: 130 mm (širokopásmový) 
 • frekvenčné pásmo: 50 - 20.000 Hz 
 • zabudovaný akumulátor: Li-ion 3,7 V / 3600 mAh 
 • napájanie: zabudovaný akumulátor 
 • rozmer / hmotnosť: 400 x 290 x 170 mm  /  2,2 kg</t>
        </is>
      </c>
    </row>
    <row r="1371">
      <c r="A1371" s="3" t="inlineStr">
        <is>
          <t>PAR 2200BT</t>
        </is>
      </c>
      <c r="B1371" s="2" t="inlineStr">
        <is>
          <t>Party reprobox, 2 x 20 cm, aku, BT, LED</t>
        </is>
      </c>
      <c r="C1371" s="1" t="n">
        <v>246.9</v>
      </c>
      <c r="D1371" s="7" t="n">
        <f>HYPERLINK("https://www.somogyi.sk/product/party-reprobox-2-x-20-cm-aku-bt-led-par-2200bt-17900","https://www.somogyi.sk/product/party-reprobox-2-x-20-cm-aku-bt-led-par-2200bt-17900")</f>
        <v>0.0</v>
      </c>
      <c r="E1371" s="7" t="n">
        <f>HYPERLINK("https://www.somogyi.sk/productimages/product_main_images/small/17900.jpg","https://www.somogyi.sk/productimages/product_main_images/small/17900.jpg")</f>
        <v>0.0</v>
      </c>
      <c r="F1371" s="2" t="inlineStr">
        <is>
          <t>5999084959227</t>
        </is>
      </c>
      <c r="G1371" s="4" t="inlineStr">
        <is>
          <t xml:space="preserve"> • prevedenie reproboxu: dvojitý 2-pásmový bass-reflex 
 • multifunkčný digitálny displej: áno 
 • bezdrôtové BT spojenie: v2.1 / max.10 m • Bluetooth 2.402-2.480 GHz ERP ≤2.5 mW 
 • FM rádio: automatické vyhľadávanie, uloženie rozhl. staníc 
 • MP3 prehrávač: áno 
 • prehrávateľné formáty: MP3 
 • výstupný výkon: Pm / Pn 120 W / 80 W (AC)   •   Pm / Pn 100W / 60 W (DC) 
 • KARAOKE funkcia: áno 
 • pripojiteľné zariadenie: USB / SD (FAT32, max.32 GB) 
 • echo efekt mikrofónu: áno 
 • regulátor hlasitosti: áno 
 • mikrofónový vstup: 2 x Ø6,3 mm, jack 
 • audio vstup: 2x RCA AUX (LINE IN) 
 •  
 • frekvenčné pásmo: 38 - 20.000 Hz 
 • zabudovaný akumulátor: áno 
 • príslušenstvo: diaľkový ovládač, sieťový kábel, audio kábel 
 • rozmer / hmotnosť: 310/250 x 640 x 380 mm / 10,6 kg</t>
        </is>
      </c>
    </row>
    <row r="1372">
      <c r="A1372" s="3" t="inlineStr">
        <is>
          <t>PAR 221DJ</t>
        </is>
      </c>
      <c r="B1372" s="2" t="inlineStr">
        <is>
          <t>Party reprobox, 2x20 cm, FULL LED, aku</t>
        </is>
      </c>
      <c r="C1372" s="1" t="n">
        <v>184.9</v>
      </c>
      <c r="D1372" s="7" t="n">
        <f>HYPERLINK("https://www.somogyi.sk/product/party-reprobox-2x20-cm-full-led-aku-par-221dj-17575","https://www.somogyi.sk/product/party-reprobox-2x20-cm-full-led-aku-par-221dj-17575")</f>
        <v>0.0</v>
      </c>
      <c r="E1372" s="7" t="n">
        <f>HYPERLINK("https://www.somogyi.sk/productimages/product_main_images/small/17575.jpg","https://www.somogyi.sk/productimages/product_main_images/small/17575.jpg")</f>
        <v>0.0</v>
      </c>
      <c r="F1372" s="2" t="inlineStr">
        <is>
          <t>5999084955977</t>
        </is>
      </c>
      <c r="G1372" s="4" t="inlineStr">
        <is>
          <t xml:space="preserve"> • prevedenie reproboxu: 2-pásmový bass-reflex 
 • bezdrôtové BT spojenie: bezdrôtový BT TWS spojenie / 5.1/10 m. max. • Bluetooth 2.402-2.480 GHz ERP ≤2.5 mW 
 • FM rádio: 87,5-108,0 MHz / 50 programov / automatické ladenie a uloženie 
 • MP3 prehrávač: áno 
 • prehrávateľné formáty: MP3/WMA/WAV/APE/FLAC 
 • zabudovaný zosilňovač: áno 
 • výstupný výkon: 120 / 80 W (hudovný / menovitý) 
 • KARAOKE funkcia: áno 
 • pripojiteľné zariadenie: USB (FAT32, max. 32 GB) 
 • echo efekt mikrofónu: áno 
 • regulátor hlasitosti: áno 
 • regulátor vysokých a hlbokých tónov: X-BASS 
 • mikrofónový vstup: 2 x ∅6,3 mm mikrofónová zásuvka 
 • audio vstup: ∅3,5 mm AUX audio vstup 
 • frekvenčné pásmo: 35 - 20000 Hz 
 • rukoväť: áno 
 • zabudovaný akumulátor: Li-ion / 12 V / 3000 mAh 
 • príslušenstvo: sieťová nabíjačka 
 • napájanie: zabudovaný akumulátor 
 • rozmer / hmotnosť: 300 x 760 x 280 mm / 10,4 kg 
 • ďalšie informácie: 4x16 DRUHOV KREATÍVNYCH, PROFESIONÁLNYCH, ZÁBAVNÝCH DJ ZVUKOVÝCH EFEKTOV; KLAKSÓN, HUDOBNÝ AKORD, SYNTEZÁTOR, RYTMICKÉ NÁSTROJE, REAKCIE DIVÁKA... / podsvietený Soft Touch DJ ovládací panel / FULL LED predný panel, možnosť vypnutia / voliteľné svetelné efekty podľa rytmu hudby / vstavaný držiak na tablet resp. mobilný telefón / počúvanie hudby z mobilného zariadenia, počítač / predpokladaná doba nabíjania/prevádzky : ~6h/~13h / určené na prevádzku na akumulátor / kompaktné, prenosné prevedenie s kolieskami</t>
        </is>
      </c>
    </row>
    <row r="1373">
      <c r="A1373" s="6" t="inlineStr">
        <is>
          <t xml:space="preserve">   Zvuková technika / Basový reproduktor</t>
        </is>
      </c>
      <c r="B1373" s="6" t="inlineStr">
        <is>
          <t/>
        </is>
      </c>
      <c r="C1373" s="6" t="inlineStr">
        <is>
          <t/>
        </is>
      </c>
      <c r="D1373" s="6" t="inlineStr">
        <is>
          <t/>
        </is>
      </c>
      <c r="E1373" s="6" t="inlineStr">
        <is>
          <t/>
        </is>
      </c>
      <c r="F1373" s="6" t="inlineStr">
        <is>
          <t/>
        </is>
      </c>
      <c r="G1373" s="6" t="inlineStr">
        <is>
          <t/>
        </is>
      </c>
    </row>
    <row r="1374">
      <c r="A1374" s="3" t="inlineStr">
        <is>
          <t>SPA 3040</t>
        </is>
      </c>
      <c r="B1374" s="2" t="inlineStr">
        <is>
          <t>Basový reproduktor</t>
        </is>
      </c>
      <c r="C1374" s="1" t="n">
        <v>50.99</v>
      </c>
      <c r="D1374" s="7" t="n">
        <f>HYPERLINK("https://www.somogyi.sk/product/basovy-reproduktor-spa-3040-4169","https://www.somogyi.sk/product/basovy-reproduktor-spa-3040-4169")</f>
        <v>0.0</v>
      </c>
      <c r="E1374" s="7" t="n">
        <f>HYPERLINK("https://www.somogyi.sk/productimages/product_main_images/small/04169.jpg","https://www.somogyi.sk/productimages/product_main_images/small/04169.jpg")</f>
        <v>0.0</v>
      </c>
      <c r="F1374" s="2" t="inlineStr">
        <is>
          <t>5998312736982</t>
        </is>
      </c>
      <c r="G1374" s="4" t="inlineStr">
        <is>
          <t xml:space="preserve"> • menovitý priemer reproduktora: 300 mm 
 • materiál kónusu: PC 
 • impedancia reproduktora: 8 Ω 
 • zaťažiteľnosť reproduktora: 210 / 150 W 
 • frekvenčné pásmo: 40 - 3500 Hz 
 • citlivosť reproduktora: 90 dB 
 • cievka: 1,5", 2 vrstvy 
 • teleso cievky: hliník 
 • magnet: 40 Oz</t>
        </is>
      </c>
    </row>
    <row r="1375">
      <c r="A1375" s="3" t="inlineStr">
        <is>
          <t>SPA 2030</t>
        </is>
      </c>
      <c r="B1375" s="2" t="inlineStr">
        <is>
          <t>Basový reproduktor</t>
        </is>
      </c>
      <c r="C1375" s="1" t="n">
        <v>29.99</v>
      </c>
      <c r="D1375" s="7" t="n">
        <f>HYPERLINK("https://www.somogyi.sk/product/basovy-reproduktor-spa-2030-4167","https://www.somogyi.sk/product/basovy-reproduktor-spa-2030-4167")</f>
        <v>0.0</v>
      </c>
      <c r="E1375" s="7" t="n">
        <f>HYPERLINK("https://www.somogyi.sk/productimages/product_main_images/small/04167.jpg","https://www.somogyi.sk/productimages/product_main_images/small/04167.jpg")</f>
        <v>0.0</v>
      </c>
      <c r="F1375" s="2" t="inlineStr">
        <is>
          <t>5998312736968</t>
        </is>
      </c>
      <c r="G1375" s="4" t="inlineStr">
        <is>
          <t xml:space="preserve"> • menovitý priemer reproduktora: 200 mm 
 • materiál kónusu: PC 
 • impedancia reproduktora: 8 Ω 
 • zaťažiteľnosť reproduktora: 150 / 100 W 
 • frekvenčné pásmo: 50 - 5000 Hz 
 • citlivosť reproduktora: 89 dB 
 • cievka: 1,5", 2 vrstvy 
 • teleso cievky: hliník 
 • magnet: 30 Oz</t>
        </is>
      </c>
    </row>
    <row r="1376">
      <c r="A1376" s="3" t="inlineStr">
        <is>
          <t>SPA 4050</t>
        </is>
      </c>
      <c r="B1376" s="2" t="inlineStr">
        <is>
          <t>Basový reproduktor</t>
        </is>
      </c>
      <c r="C1376" s="1" t="n">
        <v>76.99</v>
      </c>
      <c r="D1376" s="7" t="n">
        <f>HYPERLINK("https://www.somogyi.sk/product/basovy-reproduktor-spa-4050-4170","https://www.somogyi.sk/product/basovy-reproduktor-spa-4050-4170")</f>
        <v>0.0</v>
      </c>
      <c r="E1376" s="7" t="n">
        <f>HYPERLINK("https://www.somogyi.sk/productimages/product_main_images/small/04170.jpg","https://www.somogyi.sk/productimages/product_main_images/small/04170.jpg")</f>
        <v>0.0</v>
      </c>
      <c r="F1376" s="2" t="inlineStr">
        <is>
          <t>5998312736999</t>
        </is>
      </c>
      <c r="G1376" s="4" t="inlineStr">
        <is>
          <t xml:space="preserve"> • menovitý priemer reproduktora: 400 mm 
 • materiál kónusu: PC 
 • impedancia reproduktora: 8 Ω 
 • zaťažiteľnosť reproduktora: 230 / 160 W 
 • frekvenčné pásmo: 30 - 3000 Hz 
 • citlivosť reproduktora: 93 dB 
 • cievka: 2", 2 vrstvy 
 • teleso cievky: hliník 
 • magnet: 50 Oz</t>
        </is>
      </c>
    </row>
    <row r="1377">
      <c r="A1377" s="3" t="inlineStr">
        <is>
          <t>SPA 2530</t>
        </is>
      </c>
      <c r="B1377" s="2" t="inlineStr">
        <is>
          <t>Basový reproduktor</t>
        </is>
      </c>
      <c r="C1377" s="1" t="n">
        <v>32.99</v>
      </c>
      <c r="D1377" s="7" t="n">
        <f>HYPERLINK("https://www.somogyi.sk/product/basovy-reproduktor-spa-2530-4168","https://www.somogyi.sk/product/basovy-reproduktor-spa-2530-4168")</f>
        <v>0.0</v>
      </c>
      <c r="E1377" s="7" t="n">
        <f>HYPERLINK("https://www.somogyi.sk/productimages/product_main_images/small/04168.jpg","https://www.somogyi.sk/productimages/product_main_images/small/04168.jpg")</f>
        <v>0.0</v>
      </c>
      <c r="F1377" s="2" t="inlineStr">
        <is>
          <t>5998312736975</t>
        </is>
      </c>
      <c r="G1377" s="4" t="inlineStr">
        <is>
          <t xml:space="preserve"> • menovitý priemer reproduktora: 250 mm 
 • materiál kónusu: PC 
 • impedancia reproduktora: 8 Ω 
 • zaťažiteľnosť reproduktora: 200 / 140 W 
 • frekvenčné pásmo: 45 - 5000 Hz 
 • citlivosť reproduktora: 90 dB 
 • cievka: 1,5", 2 vrstvy 
 • teleso cievky: hliník 
 • magnet: 30 Oz</t>
        </is>
      </c>
    </row>
    <row r="1378">
      <c r="A1378" s="6" t="inlineStr">
        <is>
          <t xml:space="preserve">   Zvuková technika / Výškový reproduktor</t>
        </is>
      </c>
      <c r="B1378" s="6" t="inlineStr">
        <is>
          <t/>
        </is>
      </c>
      <c r="C1378" s="6" t="inlineStr">
        <is>
          <t/>
        </is>
      </c>
      <c r="D1378" s="6" t="inlineStr">
        <is>
          <t/>
        </is>
      </c>
      <c r="E1378" s="6" t="inlineStr">
        <is>
          <t/>
        </is>
      </c>
      <c r="F1378" s="6" t="inlineStr">
        <is>
          <t/>
        </is>
      </c>
      <c r="G1378" s="6" t="inlineStr">
        <is>
          <t/>
        </is>
      </c>
    </row>
    <row r="1379">
      <c r="A1379" s="3" t="inlineStr">
        <is>
          <t>KHS 106</t>
        </is>
      </c>
      <c r="B1379" s="2" t="inlineStr">
        <is>
          <t>Piezo výškový reproduktor</t>
        </is>
      </c>
      <c r="C1379" s="1" t="n">
        <v>3.79</v>
      </c>
      <c r="D1379" s="7" t="n">
        <f>HYPERLINK("https://www.somogyi.sk/product/piezo-vyskovy-reproduktor-khs-106-2363","https://www.somogyi.sk/product/piezo-vyskovy-reproduktor-khs-106-2363")</f>
        <v>0.0</v>
      </c>
      <c r="E1379" s="7" t="n">
        <f>HYPERLINK("https://www.somogyi.sk/productimages/product_main_images/small/02363.jpg","https://www.somogyi.sk/productimages/product_main_images/small/02363.jpg")</f>
        <v>0.0</v>
      </c>
      <c r="F1379" s="2" t="inlineStr">
        <is>
          <t>5998312726693</t>
        </is>
      </c>
      <c r="G1379" s="4" t="inlineStr">
        <is>
          <t xml:space="preserve"> • vonkajší rozmer reproduktora: Ø 95 mm 
 • impedancia reproduktora: &gt; 1000 Ω 
 • zaťažiteľnosť reproduktora: 300 W (4 Ω) / 150 W (8 Ω) max. 35 V~ 
 • frekvenčné pásmo: 2000 - 20000 Hz 
 • citlivosť reproduktora: 90 dB</t>
        </is>
      </c>
    </row>
    <row r="1380">
      <c r="A1380" s="3" t="inlineStr">
        <is>
          <t>KHS 107</t>
        </is>
      </c>
      <c r="B1380" s="2" t="inlineStr">
        <is>
          <t>Piezo výškový reproduktor</t>
        </is>
      </c>
      <c r="C1380" s="1" t="n">
        <v>4.59</v>
      </c>
      <c r="D1380" s="7" t="n">
        <f>HYPERLINK("https://www.somogyi.sk/product/piezo-vyskovy-reproduktor-khs-107-2526","https://www.somogyi.sk/product/piezo-vyskovy-reproduktor-khs-107-2526")</f>
        <v>0.0</v>
      </c>
      <c r="E1380" s="7" t="n">
        <f>HYPERLINK("https://www.somogyi.sk/productimages/product_main_images/small/02526.jpg","https://www.somogyi.sk/productimages/product_main_images/small/02526.jpg")</f>
        <v>0.0</v>
      </c>
      <c r="F1380" s="2" t="inlineStr">
        <is>
          <t>5998312728383</t>
        </is>
      </c>
      <c r="G1380" s="4" t="inlineStr">
        <is>
          <t xml:space="preserve"> • vonkajší rozmer reproduktora: 64 x 64 mm 
 • impedancia reproduktora: &gt; 1000 Ω 
 • zaťažiteľnosť reproduktora: 300 W (4 Ω) / 150 W (8 Ω) max. 35 V~ 
 • frekvenčné pásmo: 5000 - 20000 Hz 
 • citlivosť reproduktora: 104 dB</t>
        </is>
      </c>
    </row>
    <row r="1381">
      <c r="A1381" s="3" t="inlineStr">
        <is>
          <t>KHS 311M</t>
        </is>
      </c>
      <c r="B1381" s="2" t="inlineStr">
        <is>
          <t>Piezo výškový reproduktor</t>
        </is>
      </c>
      <c r="C1381" s="1" t="n">
        <v>5.89</v>
      </c>
      <c r="D1381" s="7" t="n">
        <f>HYPERLINK("https://www.somogyi.sk/product/piezo-vyskovy-reproduktor-khs-311m-2677","https://www.somogyi.sk/product/piezo-vyskovy-reproduktor-khs-311m-2677")</f>
        <v>0.0</v>
      </c>
      <c r="E1381" s="7" t="n">
        <f>HYPERLINK("https://www.somogyi.sk/productimages/product_main_images/small/02677.jpg","https://www.somogyi.sk/productimages/product_main_images/small/02677.jpg")</f>
        <v>0.0</v>
      </c>
      <c r="F1381" s="2" t="inlineStr">
        <is>
          <t>5998312730010</t>
        </is>
      </c>
      <c r="G1381" s="4" t="inlineStr">
        <is>
          <t xml:space="preserve"> • vonkajší rozmer reproduktora: 110 x 110 mm 
 • impedancia reproduktora: &gt; 1000 Ω 
 • zaťažiteľnosť reproduktora: 300 W (4 Ω) / 150 W (8 Ω) max. 35 V~ 
 • frekvenčné pásmo: 2000 - 20000 Hz 
 • citlivosť reproduktora: 93 dB</t>
        </is>
      </c>
    </row>
    <row r="1382">
      <c r="A1382" s="3" t="inlineStr">
        <is>
          <t>KHS 105A</t>
        </is>
      </c>
      <c r="B1382" s="2" t="inlineStr">
        <is>
          <t>Piezo výškový reproduktor</t>
        </is>
      </c>
      <c r="C1382" s="1" t="n">
        <v>2.99</v>
      </c>
      <c r="D1382" s="7" t="n">
        <f>HYPERLINK("https://www.somogyi.sk/product/piezo-vyskovy-reproduktor-khs-105a-1797","https://www.somogyi.sk/product/piezo-vyskovy-reproduktor-khs-105a-1797")</f>
        <v>0.0</v>
      </c>
      <c r="E1382" s="7" t="n">
        <f>HYPERLINK("https://www.somogyi.sk/productimages/product_main_images/small/01797.jpg","https://www.somogyi.sk/productimages/product_main_images/small/01797.jpg")</f>
        <v>0.0</v>
      </c>
      <c r="F1382" s="2" t="inlineStr">
        <is>
          <t>5998312702833</t>
        </is>
      </c>
      <c r="G1382" s="4" t="inlineStr">
        <is>
          <t xml:space="preserve"> • vonkajší rozmer reproduktora: 85 x 85 mm 
 • impedancia reproduktora: &gt; 1000 Ω 
 • zaťažiteľnosť reproduktora: 300 W (4 Ω) / 150 W (8 Ω) max. 35 V~ 
 • frekvenčné pásmo: 2000 - 20000 Hz 
 • citlivosť reproduktora: 94 dB</t>
        </is>
      </c>
    </row>
    <row r="1383">
      <c r="A1383" s="3" t="inlineStr">
        <is>
          <t>DP 11</t>
        </is>
      </c>
      <c r="B1383" s="2" t="inlineStr">
        <is>
          <t>Orchestrový výškový reproduktor, kalotový, 8 Ohm</t>
        </is>
      </c>
      <c r="C1383" s="1" t="n">
        <v>15.49</v>
      </c>
      <c r="D1383" s="7" t="n">
        <f>HYPERLINK("https://www.somogyi.sk/product/orchestrovy-vyskovy-reproduktor-kalotovy-8-ohm-dp-11-17786","https://www.somogyi.sk/product/orchestrovy-vyskovy-reproduktor-kalotovy-8-ohm-dp-11-17786")</f>
        <v>0.0</v>
      </c>
      <c r="E1383" s="7" t="n">
        <f>HYPERLINK("https://www.somogyi.sk/productimages/product_main_images/small/17786.jpg","https://www.somogyi.sk/productimages/product_main_images/small/17786.jpg")</f>
        <v>0.0</v>
      </c>
      <c r="F1383" s="2" t="inlineStr">
        <is>
          <t>5999084958084</t>
        </is>
      </c>
      <c r="G1383" s="4" t="inlineStr">
        <is>
          <t xml:space="preserve"> • odolný textilný bakelitový kalotový reproduktor  
 • je potrebný k nemu výhybka  
 • 86 x 86 mm  
 • Z: 8 Ohm 
 • Pm/Pn: 120/60 W 
 • f: 2.000 – 18.000 Hz 
 • SPL1 W/1 m: 93 dB 
 • zvuková cievka: 1,0” 
 • membrána: textilný bakelit 
 • hmotnosť: 10 Oz</t>
        </is>
      </c>
    </row>
    <row r="1384">
      <c r="A1384" s="3" t="inlineStr">
        <is>
          <t>DPH 1417</t>
        </is>
      </c>
      <c r="B1384" s="2" t="inlineStr">
        <is>
          <t>Orchestrový výškový reproduktor, kalotový, 8 Ohm</t>
        </is>
      </c>
      <c r="C1384" s="1" t="n">
        <v>39.99</v>
      </c>
      <c r="D1384" s="7" t="n">
        <f>HYPERLINK("https://www.somogyi.sk/product/orchestrovy-vyskovy-reproduktor-kalotovy-8-ohm-dph-1417-17788","https://www.somogyi.sk/product/orchestrovy-vyskovy-reproduktor-kalotovy-8-ohm-dph-1417-17788")</f>
        <v>0.0</v>
      </c>
      <c r="E1384" s="7" t="n">
        <f>HYPERLINK("https://www.somogyi.sk/productimages/product_main_images/small/17788.jpg","https://www.somogyi.sk/productimages/product_main_images/small/17788.jpg")</f>
        <v>0.0</v>
      </c>
      <c r="F1384" s="2" t="inlineStr">
        <is>
          <t>5999084958107</t>
        </is>
      </c>
      <c r="G1384" s="4" t="inlineStr">
        <is>
          <t xml:space="preserve"> • vonkajší rozmer reproduktora: 160 x 142 mm 
 • impedancia reproduktora: 8 Ohm 
 • zaťažiteľnosť reproduktora: Pm/Pn: 150/80 W 
 • frekvenčné pásmo: 2000 - 18000 Hz 
 • citlivosť reproduktora: SPL1W/1m  96 dB 
 • cievka: 1,5" 
 • magnet: 20 Oz</t>
        </is>
      </c>
    </row>
    <row r="1385">
      <c r="A1385" s="3" t="inlineStr">
        <is>
          <t>KHS 120</t>
        </is>
      </c>
      <c r="B1385" s="2" t="inlineStr">
        <is>
          <t>Piezo výškový reproduktor</t>
        </is>
      </c>
      <c r="C1385" s="1" t="n">
        <v>10.49</v>
      </c>
      <c r="D1385" s="7" t="n">
        <f>HYPERLINK("https://www.somogyi.sk/product/piezo-vyskovy-reproduktor-khs-120-2078","https://www.somogyi.sk/product/piezo-vyskovy-reproduktor-khs-120-2078")</f>
        <v>0.0</v>
      </c>
      <c r="E1385" s="7" t="n">
        <f>HYPERLINK("https://www.somogyi.sk/productimages/product_main_images/small/02078.jpg","https://www.somogyi.sk/productimages/product_main_images/small/02078.jpg")</f>
        <v>0.0</v>
      </c>
      <c r="F1385" s="2" t="inlineStr">
        <is>
          <t>5998312723128</t>
        </is>
      </c>
      <c r="G1385" s="4" t="inlineStr">
        <is>
          <t xml:space="preserve"> • vonkajší rozmer reproduktora: 100 x 236 mm 
 • impedancia reproduktora: &gt; 1000 Ω 
 • zaťažiteľnosť reproduktora: 300 W (4 Ω) / 150 W (8 Ω) max. 35 V~ 
 • frekvenčné pásmo: 2000 - 20000 Hz 
 • citlivosť reproduktora: 92 dB</t>
        </is>
      </c>
    </row>
    <row r="1386">
      <c r="A1386" s="3" t="inlineStr">
        <is>
          <t>KHS 110</t>
        </is>
      </c>
      <c r="B1386" s="2" t="inlineStr">
        <is>
          <t>Piezo výškový reproduktor</t>
        </is>
      </c>
      <c r="C1386" s="1" t="n">
        <v>4.49</v>
      </c>
      <c r="D1386" s="7" t="n">
        <f>HYPERLINK("https://www.somogyi.sk/product/piezo-vyskovy-reproduktor-khs-110-2362","https://www.somogyi.sk/product/piezo-vyskovy-reproduktor-khs-110-2362")</f>
        <v>0.0</v>
      </c>
      <c r="E1386" s="7" t="n">
        <f>HYPERLINK("https://www.somogyi.sk/productimages/product_main_images/small/02362.jpg","https://www.somogyi.sk/productimages/product_main_images/small/02362.jpg")</f>
        <v>0.0</v>
      </c>
      <c r="F1386" s="2" t="inlineStr">
        <is>
          <t>5998312726686</t>
        </is>
      </c>
      <c r="G1386" s="4" t="inlineStr">
        <is>
          <t xml:space="preserve"> • vonkajší rozmer reproduktora: 87 x 187 mm 
 • impedancia reproduktora: &gt; 1000 Ω 
 • zaťažiteľnosť reproduktora: 300 W (4 Ω) / 150 W (8 Ω) max. 35 V~ 
 • frekvenčné pásmo: 2000 - 20000 Hz 
 • citlivosť reproduktora: 90 dB</t>
        </is>
      </c>
    </row>
    <row r="1387">
      <c r="A1387" s="6" t="inlineStr">
        <is>
          <t xml:space="preserve">   Zvuková technika / Mixážny zosilňovač</t>
        </is>
      </c>
      <c r="B1387" s="6" t="inlineStr">
        <is>
          <t/>
        </is>
      </c>
      <c r="C1387" s="6" t="inlineStr">
        <is>
          <t/>
        </is>
      </c>
      <c r="D1387" s="6" t="inlineStr">
        <is>
          <t/>
        </is>
      </c>
      <c r="E1387" s="6" t="inlineStr">
        <is>
          <t/>
        </is>
      </c>
      <c r="F1387" s="6" t="inlineStr">
        <is>
          <t/>
        </is>
      </c>
      <c r="G1387" s="6" t="inlineStr">
        <is>
          <t/>
        </is>
      </c>
    </row>
    <row r="1388">
      <c r="A1388" s="3" t="inlineStr">
        <is>
          <t>MPA 120BT</t>
        </is>
      </c>
      <c r="B1388" s="2" t="inlineStr">
        <is>
          <t>Mixážny zosilňovač, FM-BT-MP3, 120Watt</t>
        </is>
      </c>
      <c r="C1388" s="1" t="n">
        <v>182.9</v>
      </c>
      <c r="D1388" s="7" t="n">
        <f>HYPERLINK("https://www.somogyi.sk/product/mixazny-zosilnovac-fm-bt-mp3-120watt-mpa-120bt-16861","https://www.somogyi.sk/product/mixazny-zosilnovac-fm-bt-mp3-120watt-mpa-120bt-16861")</f>
        <v>0.0</v>
      </c>
      <c r="E1388" s="7" t="n">
        <f>HYPERLINK("https://www.somogyi.sk/productimages/product_main_images/small/16861.jpg","https://www.somogyi.sk/productimages/product_main_images/small/16861.jpg")</f>
        <v>0.0</v>
      </c>
      <c r="F1388" s="2" t="inlineStr">
        <is>
          <t>5999084948931</t>
        </is>
      </c>
      <c r="G1388" s="4" t="inlineStr">
        <is>
          <t xml:space="preserve"> • výstupný výkon: 120 W 
 • mixážny zosilňovač: 6 kanálov 
 • regulátor hlasitosti: áno 
 • regulátor vysokých a hlbokých tónov: áno 
 • zvukový efekt gong: áno 
 • automatický mix mikrofónu: áno 
 • mikrofónový vstup: 2 x Ø6,3 mm 
 • audio vstup: 3 x stereo (2xRCA) 
 • audio výstup: N2 x RCA 
 • výstupy pre reproduktor: 4 - 8 Ohm 
 • napájanie: 230 V~ / 50 Hz 
 • rozmery: 480 x 98 x 355 mm / 6,8 kg</t>
        </is>
      </c>
    </row>
    <row r="1389">
      <c r="A1389" s="3" t="inlineStr">
        <is>
          <t>MPA 240BT</t>
        </is>
      </c>
      <c r="B1389" s="2" t="inlineStr">
        <is>
          <t>Mixážny zosilňovač, FM-BT-MP3, 240 Watt</t>
        </is>
      </c>
      <c r="C1389" s="1" t="n">
        <v>251.9</v>
      </c>
      <c r="D1389" s="7" t="n">
        <f>HYPERLINK("https://www.somogyi.sk/product/mixazny-zosilnovac-fm-bt-mp3-240-watt-mpa-240bt-15864","https://www.somogyi.sk/product/mixazny-zosilnovac-fm-bt-mp3-240-watt-mpa-240bt-15864")</f>
        <v>0.0</v>
      </c>
      <c r="E1389" s="7" t="n">
        <f>HYPERLINK("https://www.somogyi.sk/productimages/product_main_images/small/15864.jpg","https://www.somogyi.sk/productimages/product_main_images/small/15864.jpg")</f>
        <v>0.0</v>
      </c>
      <c r="F1389" s="2" t="inlineStr">
        <is>
          <t>5999084938987</t>
        </is>
      </c>
      <c r="G1389" s="4" t="inlineStr">
        <is>
          <t xml:space="preserve"> • výstupný výkon: 400 W 
 • mixážny zosilňovač: 5 kanálov 
 • regulátor hlasitosti: áno 
 • regulátor vysokých a hlbokých tónov: áno 
 • zvukový efekt gong: áno 
 • automatický mix mikrofónu: áno 
 • mikrofónový vstup: 2 x Ø6,3 mm 
 • audio vstup: 3 x stereo (2xRCA) 
 • audio výstup: 2 x RCA 
 • výstupy pre reproduktor: 8 Ohm 
 • 100 V výstupy: 6 ks 
 • napájanie: 230 V~ 
 • rozmery: 480 x 95 x 380 mm</t>
        </is>
      </c>
    </row>
    <row r="1390">
      <c r="A1390" s="6" t="inlineStr">
        <is>
          <t xml:space="preserve">   Zvuková technika / Špeciálny reproduktor, reprobox</t>
        </is>
      </c>
      <c r="B1390" s="6" t="inlineStr">
        <is>
          <t/>
        </is>
      </c>
      <c r="C1390" s="6" t="inlineStr">
        <is>
          <t/>
        </is>
      </c>
      <c r="D1390" s="6" t="inlineStr">
        <is>
          <t/>
        </is>
      </c>
      <c r="E1390" s="6" t="inlineStr">
        <is>
          <t/>
        </is>
      </c>
      <c r="F1390" s="6" t="inlineStr">
        <is>
          <t/>
        </is>
      </c>
      <c r="G1390" s="6" t="inlineStr">
        <is>
          <t/>
        </is>
      </c>
    </row>
    <row r="1391">
      <c r="A1391" s="3" t="inlineStr">
        <is>
          <t>CES 3</t>
        </is>
      </c>
      <c r="B1391" s="2" t="inlineStr">
        <is>
          <t>Stropný reproduktor</t>
        </is>
      </c>
      <c r="C1391" s="1" t="n">
        <v>31.99</v>
      </c>
      <c r="D1391" s="7" t="n">
        <f>HYPERLINK("https://www.somogyi.sk/product/stropny-reproduktor-ces-3-2731","https://www.somogyi.sk/product/stropny-reproduktor-ces-3-2731")</f>
        <v>0.0</v>
      </c>
      <c r="E1391" s="7" t="n">
        <f>HYPERLINK("https://www.somogyi.sk/productimages/product_main_images/small/02731.jpg","https://www.somogyi.sk/productimages/product_main_images/small/02731.jpg")</f>
        <v>0.0</v>
      </c>
      <c r="F1391" s="2" t="inlineStr">
        <is>
          <t>5998312730553</t>
        </is>
      </c>
      <c r="G1391" s="4" t="inlineStr">
        <is>
          <t xml:space="preserve"> • Zdôraznená charakteristika: 110 V - (zabudovaný transformátor) 
 • menovitý priemer reproduktora: 165 mm 
 • impedancia reproduktora: 8 Ω 
 • zaťažiteľnosť reproduktora: 10 W 
 • frekvenčné pásmo: 50 - 18000 Hz 
 • rozmery: Ø90 x 85 mm</t>
        </is>
      </c>
    </row>
    <row r="1392">
      <c r="A1392" s="3" t="inlineStr">
        <is>
          <t>MRPX 2-165</t>
        </is>
      </c>
      <c r="B1392" s="2" t="inlineStr">
        <is>
          <t>Pár vodotesných reproduktorov, 2 pásmové, 165mm, 4ohm, 150W</t>
        </is>
      </c>
      <c r="C1392" s="1" t="n">
        <v>39.99</v>
      </c>
      <c r="D1392" s="7" t="n">
        <f>HYPERLINK("https://www.somogyi.sk/product/par-vodotesnych-reproduktorov-2-pasmove-165mm-4ohm-150w-mrpx-2-165-14584","https://www.somogyi.sk/product/par-vodotesnych-reproduktorov-2-pasmove-165mm-4ohm-150w-mrpx-2-165-14584")</f>
        <v>0.0</v>
      </c>
      <c r="E1392" s="7" t="n">
        <f>HYPERLINK("https://www.somogyi.sk/productimages/product_main_images/small/14584.jpg","https://www.somogyi.sk/productimages/product_main_images/small/14584.jpg")</f>
        <v>0.0</v>
      </c>
      <c r="F1392" s="2" t="inlineStr">
        <is>
          <t>5999084926267</t>
        </is>
      </c>
      <c r="G1392" s="4" t="inlineStr">
        <is>
          <t xml:space="preserve"> • Zdôraznená charakteristika: do vlhkého prostredia 
 • menovitý priemer reproduktora: 165 mm 
 • impedancia reproduktora: 4 Ω 
 • zaťažiteľnosť reproduktora: 2 x 75 W 
 • frekvenčné pásmo: 45 - 20000 Hz 
 • citlivosť reproduktora: 87 dB 
 • rozmery: Ø180 x 60 mm</t>
        </is>
      </c>
    </row>
    <row r="1393">
      <c r="A1393" s="3" t="inlineStr">
        <is>
          <t>MRPX 2-130</t>
        </is>
      </c>
      <c r="B1393" s="2" t="inlineStr">
        <is>
          <t>Pár vodotesných reproduktorov, 2 pásmové, 130mm, 4ohm, 100W</t>
        </is>
      </c>
      <c r="C1393" s="1" t="n">
        <v>33.99</v>
      </c>
      <c r="D1393" s="7" t="n">
        <f>HYPERLINK("https://www.somogyi.sk/product/par-vodotesnych-reproduktorov-2-pasmove-130mm-4ohm-100w-mrpx-2-130-14583","https://www.somogyi.sk/product/par-vodotesnych-reproduktorov-2-pasmove-130mm-4ohm-100w-mrpx-2-130-14583")</f>
        <v>0.0</v>
      </c>
      <c r="E1393" s="7" t="n">
        <f>HYPERLINK("https://www.somogyi.sk/productimages/product_main_images/small/14583.jpg","https://www.somogyi.sk/productimages/product_main_images/small/14583.jpg")</f>
        <v>0.0</v>
      </c>
      <c r="F1393" s="2" t="inlineStr">
        <is>
          <t>5999084926250</t>
        </is>
      </c>
      <c r="G1393" s="4" t="inlineStr">
        <is>
          <t xml:space="preserve"> • 2-pásmová, koaxiálna konštrukcia 
 • ∅30 mm kalotový reproduktor 
 • hudobná zaťažiteľnosť: 100 W (2 x 50 W) 
 • frekvenčný prenos: 75-20.000 Hz 
 • citlivosť: 87 dB 
 • ideálny do vlhkého, parného prostredia: infrasauna, plaváreň, kúpele, terasa, obytný príves, loď</t>
        </is>
      </c>
    </row>
    <row r="1394">
      <c r="A1394" s="3" t="inlineStr">
        <is>
          <t>WAS 2</t>
        </is>
      </c>
      <c r="B1394" s="2" t="inlineStr">
        <is>
          <t>Nástenný reproduktor, 110V, 165mm</t>
        </is>
      </c>
      <c r="C1394" s="1" t="n">
        <v>34.99</v>
      </c>
      <c r="D1394" s="7" t="n">
        <f>HYPERLINK("https://www.somogyi.sk/product/nastenny-reproduktor-110v-165mm-was-2-4175","https://www.somogyi.sk/product/nastenny-reproduktor-110v-165mm-was-2-4175")</f>
        <v>0.0</v>
      </c>
      <c r="E1394" s="7" t="n">
        <f>HYPERLINK("https://www.somogyi.sk/productimages/product_main_images/small/04175.jpg","https://www.somogyi.sk/productimages/product_main_images/small/04175.jpg")</f>
        <v>0.0</v>
      </c>
      <c r="F1394" s="2" t="inlineStr">
        <is>
          <t>5998312737064</t>
        </is>
      </c>
      <c r="G1394" s="4" t="inlineStr">
        <is>
          <t xml:space="preserve"> • Zdôraznená charakteristika: 110 V (zabudovaný transformátor) 
 • menovitý priemer reproduktora: 165 mm 
 • impedancia reproduktora: 8 Ω 
 • zaťažiteľnosť reproduktora: 10 W 
 • frekvenčné pásmo: 50 - 18000 Hz 
 • rozmery: 275 x 200 x 110 mm</t>
        </is>
      </c>
    </row>
    <row r="1395">
      <c r="A1395" s="3" t="inlineStr">
        <is>
          <t>CES 165</t>
        </is>
      </c>
      <c r="B1395" s="2" t="inlineStr">
        <is>
          <t>Stropný 2-pásmový reproduktor</t>
        </is>
      </c>
      <c r="C1395" s="1" t="n">
        <v>31.99</v>
      </c>
      <c r="D1395" s="7" t="n">
        <f>HYPERLINK("https://www.somogyi.sk/product/stropny-2-pasmovy-reproduktor-ces-165-16862","https://www.somogyi.sk/product/stropny-2-pasmovy-reproduktor-ces-165-16862")</f>
        <v>0.0</v>
      </c>
      <c r="E1395" s="7" t="n">
        <f>HYPERLINK("https://www.somogyi.sk/productimages/product_main_images/small/16862.jpg","https://www.somogyi.sk/productimages/product_main_images/small/16862.jpg")</f>
        <v>0.0</v>
      </c>
      <c r="F1395" s="2" t="inlineStr">
        <is>
          <t>5999084948948</t>
        </is>
      </c>
      <c r="G1395" s="4" t="inlineStr">
        <is>
          <t xml:space="preserve"> • Zdôraznená charakteristika: 110 V (zabudovaný transformátor) 
 • menovitý priemer reproduktora: ∅165 mm   ∅25 mm 
 • impedancia reproduktora: 8 Ohm 
 • zaťažiteľnosť reproduktora: 10 W 
 • frekvenčné pásmo: 80 - 20000 Hz 
 • rozmery: rozmery zabudovania: ∅206 x 70 mm</t>
        </is>
      </c>
    </row>
    <row r="1396">
      <c r="A1396" s="6" t="inlineStr">
        <is>
          <t xml:space="preserve">   Zvuková technika / Mikrofón</t>
        </is>
      </c>
      <c r="B1396" s="6" t="inlineStr">
        <is>
          <t/>
        </is>
      </c>
      <c r="C1396" s="6" t="inlineStr">
        <is>
          <t/>
        </is>
      </c>
      <c r="D1396" s="6" t="inlineStr">
        <is>
          <t/>
        </is>
      </c>
      <c r="E1396" s="6" t="inlineStr">
        <is>
          <t/>
        </is>
      </c>
      <c r="F1396" s="6" t="inlineStr">
        <is>
          <t/>
        </is>
      </c>
      <c r="G1396" s="6" t="inlineStr">
        <is>
          <t/>
        </is>
      </c>
    </row>
    <row r="1397">
      <c r="A1397" s="3" t="inlineStr">
        <is>
          <t>M 41</t>
        </is>
      </c>
      <c r="B1397" s="2" t="inlineStr">
        <is>
          <t>Ručný mikrofón, strieborná, 6,3 mm</t>
        </is>
      </c>
      <c r="C1397" s="1" t="n">
        <v>5.69</v>
      </c>
      <c r="D1397" s="7" t="n">
        <f>HYPERLINK("https://www.somogyi.sk/product/rucny-mikrofon-strieborna-6-3-mm-m-41-14995","https://www.somogyi.sk/product/rucny-mikrofon-strieborna-6-3-mm-m-41-14995")</f>
        <v>0.0</v>
      </c>
      <c r="E1397" s="7" t="n">
        <f>HYPERLINK("https://www.somogyi.sk/productimages/product_main_images/small/14995.jpg","https://www.somogyi.sk/productimages/product_main_images/small/14995.jpg")</f>
        <v>0.0</v>
      </c>
      <c r="F1397" s="2" t="inlineStr">
        <is>
          <t>5999084930295</t>
        </is>
      </c>
      <c r="G1397" s="4" t="inlineStr">
        <is>
          <t xml:space="preserve"> • funkcia/prevedenie: dynamický 
 • impedancia: 600 Ohm 
 • frekvenčné pásmo: 100 - 12500 Hz 
 • rukoväť: plastová 
 • za/vypínač: áno 
 • svietiaci krúžok: nie 
 • odstrániteľný pripojovací kábel: nie 
 • dĺžka kábla: 1,8 m 
 • vidlica: Ø6,3 mm 
 • rozmery: Ø53 / 31 x 170 mm</t>
        </is>
      </c>
    </row>
    <row r="1398">
      <c r="A1398" s="3" t="inlineStr">
        <is>
          <t>M 8</t>
        </is>
      </c>
      <c r="B1398" s="2" t="inlineStr">
        <is>
          <t>Ručný mikrofón,kovová, XLR-6,3 mm</t>
        </is>
      </c>
      <c r="C1398" s="1" t="n">
        <v>25.99</v>
      </c>
      <c r="D1398" s="7" t="n">
        <f>HYPERLINK("https://www.somogyi.sk/product/rucny-mikrofon-kovova-xlr-6-3-mm-m-8-14998","https://www.somogyi.sk/product/rucny-mikrofon-kovova-xlr-6-3-mm-m-8-14998")</f>
        <v>0.0</v>
      </c>
      <c r="E1398" s="7" t="n">
        <f>HYPERLINK("https://www.somogyi.sk/productimages/product_main_images/small/14998.jpg","https://www.somogyi.sk/productimages/product_main_images/small/14998.jpg")</f>
        <v>0.0</v>
      </c>
      <c r="F1398" s="2" t="inlineStr">
        <is>
          <t>5999084930325</t>
        </is>
      </c>
      <c r="G1398" s="4" t="inlineStr">
        <is>
          <t xml:space="preserve"> • funkcia/prevedenie: dynamický 
 • impedancia: 600 Ohm 
 • frekvenčné pásmo: 45 - 19000 Hz 
 • rukoväť: kovová 
 • za/vypínač: áno 
 • svietiaci krúžok: nie 
 • odstrániteľný pripojovací kábel: áno 
 • dĺžka kábla: 4,5 m 
 • vidlica: XLR / Ø6,3 mm 
 • rozmery: Ø50 / 40 x 180 mm</t>
        </is>
      </c>
    </row>
    <row r="1399">
      <c r="A1399" s="3" t="inlineStr">
        <is>
          <t>M 12</t>
        </is>
      </c>
      <c r="B1399" s="2" t="inlineStr">
        <is>
          <t>Štúdiový set mikrofónu</t>
        </is>
      </c>
      <c r="C1399" s="1" t="n">
        <v>24.99</v>
      </c>
      <c r="D1399" s="7" t="n">
        <f>HYPERLINK("https://www.somogyi.sk/product/studiovy-set-mikrofonu-m-12-17305","https://www.somogyi.sk/product/studiovy-set-mikrofonu-m-12-17305")</f>
        <v>0.0</v>
      </c>
      <c r="E1399" s="7" t="n">
        <f>HYPERLINK("https://www.somogyi.sk/productimages/product_main_images/small/17305.jpg","https://www.somogyi.sk/productimages/product_main_images/small/17305.jpg")</f>
        <v>0.0</v>
      </c>
      <c r="F1399" s="2" t="inlineStr">
        <is>
          <t>5999084953270</t>
        </is>
      </c>
      <c r="G1399" s="4" t="inlineStr">
        <is>
          <t xml:space="preserve"> • funkcia/prevedenie: kondenzátor 
 • impedancia: 150 Ohm  ± 30% (1 kHz) 
 • frekvenčné pásmo: 20 - 20.000 Hz 
 • rukoväť: kovový 
 • odstrániteľný pripojovací kábel: áno 
 • dĺžka kábla: ~2,4 m 
 • vidlica: XLR 
 • príslušenstvo: XLR zásuvka / 3p-3,5mm vidlica kábel (~2,4m) 
 • rozmery: Ø46 x 155 mm / 200g</t>
        </is>
      </c>
    </row>
    <row r="1400">
      <c r="A1400" s="3" t="inlineStr">
        <is>
          <t>HT 810</t>
        </is>
      </c>
      <c r="B1400" s="2" t="inlineStr">
        <is>
          <t>Mikrofónový stojan</t>
        </is>
      </c>
      <c r="C1400" s="1" t="n">
        <v>38.99</v>
      </c>
      <c r="D1400" s="7" t="n">
        <f>HYPERLINK("https://www.somogyi.sk/product/mikrofonovy-stojan-ht-810-15716","https://www.somogyi.sk/product/mikrofonovy-stojan-ht-810-15716")</f>
        <v>0.0</v>
      </c>
      <c r="E1400" s="7" t="n">
        <f>HYPERLINK("https://www.somogyi.sk/productimages/product_main_images/small/15716.jpg","https://www.somogyi.sk/productimages/product_main_images/small/15716.jpg")</f>
        <v>0.0</v>
      </c>
      <c r="F1400" s="2" t="inlineStr">
        <is>
          <t>5999084937508</t>
        </is>
      </c>
      <c r="G1400" s="4" t="inlineStr">
        <is>
          <t xml:space="preserve"> • rozmery: cca.100-160 cm</t>
        </is>
      </c>
    </row>
    <row r="1401">
      <c r="A1401" s="3" t="inlineStr">
        <is>
          <t>M 61</t>
        </is>
      </c>
      <c r="B1401" s="2" t="inlineStr">
        <is>
          <t>Ručný mikrofón, čierna, XLR-6,3 mm</t>
        </is>
      </c>
      <c r="C1401" s="1" t="n">
        <v>8.29</v>
      </c>
      <c r="D1401" s="7" t="n">
        <f>HYPERLINK("https://www.somogyi.sk/product/rucny-mikrofon-cierna-xlr-6-3-mm-m-61-14996","https://www.somogyi.sk/product/rucny-mikrofon-cierna-xlr-6-3-mm-m-61-14996")</f>
        <v>0.0</v>
      </c>
      <c r="E1401" s="7" t="n">
        <f>HYPERLINK("https://www.somogyi.sk/productimages/product_main_images/small/14996.jpg","https://www.somogyi.sk/productimages/product_main_images/small/14996.jpg")</f>
        <v>0.0</v>
      </c>
      <c r="F1401" s="2" t="inlineStr">
        <is>
          <t>5999084930301</t>
        </is>
      </c>
      <c r="G1401" s="4" t="inlineStr">
        <is>
          <t xml:space="preserve"> • funkcia/prevedenie: dynamický 
 • impedancia: 600 Ohm 
 • frekvenčné pásmo: 80 - 14500 Hz 
 • rukoväť: plastová 
 • za/vypínač: áno 
 • svietiaci krúžok: nie 
 • odstrániteľný pripojovací kábel: áno 
 • dĺžka kábla: 3 m 
 • vidlica: XLR / Ø6,3 mm 
 • rozmery: Ø42 / 31 x 170 mm</t>
        </is>
      </c>
    </row>
    <row r="1402">
      <c r="A1402" s="3" t="inlineStr">
        <is>
          <t>M 11</t>
        </is>
      </c>
      <c r="B1402" s="2" t="inlineStr">
        <is>
          <t>Mikrofón, stolný</t>
        </is>
      </c>
      <c r="C1402" s="1" t="n">
        <v>39.99</v>
      </c>
      <c r="D1402" s="7" t="n">
        <f>HYPERLINK("https://www.somogyi.sk/product/mikrofon-stolny-m-11-15301","https://www.somogyi.sk/product/mikrofon-stolny-m-11-15301")</f>
        <v>0.0</v>
      </c>
      <c r="E1402" s="7" t="n">
        <f>HYPERLINK("https://www.somogyi.sk/productimages/product_main_images/small/15301.jpg","https://www.somogyi.sk/productimages/product_main_images/small/15301.jpg")</f>
        <v>0.0</v>
      </c>
      <c r="F1402" s="2" t="inlineStr">
        <is>
          <t>5999084933357</t>
        </is>
      </c>
      <c r="G1402" s="4" t="inlineStr">
        <is>
          <t xml:space="preserve"> • funkcia/prevedenie: kondenzátor 
 • impedancia: ~ 600 Ω 
 • frekvenčné pásmo: 80 - 18000 Hz 
 • za/vypínač: áno 
 • svietiaci krúžok: á 
 • odstrániteľný pripojovací kábel: á 
 • dĺžka kábla: 5 m 
 • vidlica: XLR / Ø6,3 mm 
 • napájanie: 6LR61 batéria (nie je príslušenstvom) alebo +48 V DC fantómové napájanie 
 • rozmery: 12,5 x 15 x 49 cm / 610 g</t>
        </is>
      </c>
    </row>
    <row r="1403">
      <c r="A1403" s="6" t="inlineStr">
        <is>
          <t xml:space="preserve">   Zvuková technika / Bezdrôtový mikrofón</t>
        </is>
      </c>
      <c r="B1403" s="6" t="inlineStr">
        <is>
          <t/>
        </is>
      </c>
      <c r="C1403" s="6" t="inlineStr">
        <is>
          <t/>
        </is>
      </c>
      <c r="D1403" s="6" t="inlineStr">
        <is>
          <t/>
        </is>
      </c>
      <c r="E1403" s="6" t="inlineStr">
        <is>
          <t/>
        </is>
      </c>
      <c r="F1403" s="6" t="inlineStr">
        <is>
          <t/>
        </is>
      </c>
      <c r="G1403" s="6" t="inlineStr">
        <is>
          <t/>
        </is>
      </c>
    </row>
    <row r="1404">
      <c r="A1404" s="3" t="inlineStr">
        <is>
          <t>MVN 300</t>
        </is>
      </c>
      <c r="B1404" s="2" t="inlineStr">
        <is>
          <t>Sada mikrofónu, bezdrôtová, 40 m</t>
        </is>
      </c>
      <c r="C1404" s="1" t="n">
        <v>56.99</v>
      </c>
      <c r="D1404" s="7" t="n">
        <f>HYPERLINK("https://www.somogyi.sk/product/sada-mikrofonu-bezdrotova-40-m-mvn-300-17168","https://www.somogyi.sk/product/sada-mikrofonu-bezdrotova-40-m-mvn-300-17168")</f>
        <v>0.0</v>
      </c>
      <c r="E1404" s="7" t="n">
        <f>HYPERLINK("https://www.somogyi.sk/productimages/product_main_images/small/17168.jpg","https://www.somogyi.sk/productimages/product_main_images/small/17168.jpg")</f>
        <v>0.0</v>
      </c>
      <c r="F1404" s="2" t="inlineStr">
        <is>
          <t>5999084952006</t>
        </is>
      </c>
      <c r="G1404" s="4" t="inlineStr">
        <is>
          <t xml:space="preserve"> • dosah: dosah na otvorenom teréne: ~40 m 
 • prevádzková frekvencia: 550-565,2 MHz 
 • výkon: &lt; 10 mW 
 • rozsah audio prenosu: 50 - 18000 Hz 
 • rozsah dynamiky: &gt; 120 dB 
 • THD: &lt; 0,5 % 
 • audio výstup: 0 - 500 mV 
 • dosah: 0 - 35 °C 
 • povolená teplota okolia: ∅6,3 mm vidlica mikrofónového výstupu na prijímači</t>
        </is>
      </c>
    </row>
    <row r="1405">
      <c r="A1405" s="6" t="inlineStr">
        <is>
          <t xml:space="preserve">   Zvuková technika / Slúchadlá</t>
        </is>
      </c>
      <c r="B1405" s="6" t="inlineStr">
        <is>
          <t/>
        </is>
      </c>
      <c r="C1405" s="6" t="inlineStr">
        <is>
          <t/>
        </is>
      </c>
      <c r="D1405" s="6" t="inlineStr">
        <is>
          <t/>
        </is>
      </c>
      <c r="E1405" s="6" t="inlineStr">
        <is>
          <t/>
        </is>
      </c>
      <c r="F1405" s="6" t="inlineStr">
        <is>
          <t/>
        </is>
      </c>
      <c r="G1405" s="6" t="inlineStr">
        <is>
          <t/>
        </is>
      </c>
    </row>
    <row r="1406">
      <c r="A1406" s="3" t="inlineStr">
        <is>
          <t>SABT 31</t>
        </is>
      </c>
      <c r="B1406" s="2" t="inlineStr">
        <is>
          <t>BT slúchadlá s nabíjačkou do auta</t>
        </is>
      </c>
      <c r="C1406" s="1" t="n">
        <v>7.79</v>
      </c>
      <c r="D1406" s="7" t="n">
        <f>HYPERLINK("https://www.somogyi.sk/product/bt-sluchadla-s-nabijackou-do-auta-sabt-31-17127","https://www.somogyi.sk/product/bt-sluchadla-s-nabijackou-do-auta-sabt-31-17127")</f>
        <v>0.0</v>
      </c>
      <c r="E1406" s="7" t="n">
        <f>HYPERLINK("https://www.somogyi.sk/productimages/product_main_images/small/17127.jpg","https://www.somogyi.sk/productimages/product_main_images/small/17127.jpg")</f>
        <v>0.0</v>
      </c>
      <c r="F1406" s="2" t="inlineStr">
        <is>
          <t>5999084951597</t>
        </is>
      </c>
      <c r="G1406" s="4" t="inlineStr">
        <is>
          <t xml:space="preserve"> • bezdrôtové: áno 
 • dosah: max. 10 m 
 • farba: biela 
 • slúchadlá do uší: áno 
 • impedancia: 32 Ohm 
 • citlivosť: 96dB 
 • výkon: max. 40 mW 
 • frekvenčné pásmo: 20 - 20.000 Hz 
 • zabudovaný mikrofón: áno 
 • bezdrôtové BT spojenie: áno 
 • prijatie telefonického hovoru: áno</t>
        </is>
      </c>
    </row>
    <row r="1407">
      <c r="A1407" s="6" t="inlineStr">
        <is>
          <t xml:space="preserve">   Zvuková technika / Reprokábel</t>
        </is>
      </c>
      <c r="B1407" s="6" t="inlineStr">
        <is>
          <t/>
        </is>
      </c>
      <c r="C1407" s="6" t="inlineStr">
        <is>
          <t/>
        </is>
      </c>
      <c r="D1407" s="6" t="inlineStr">
        <is>
          <t/>
        </is>
      </c>
      <c r="E1407" s="6" t="inlineStr">
        <is>
          <t/>
        </is>
      </c>
      <c r="F1407" s="6" t="inlineStr">
        <is>
          <t/>
        </is>
      </c>
      <c r="G1407" s="6" t="inlineStr">
        <is>
          <t/>
        </is>
      </c>
    </row>
    <row r="1408">
      <c r="A1408" s="3" t="inlineStr">
        <is>
          <t>KL 2,5T</t>
        </is>
      </c>
      <c r="B1408" s="2" t="inlineStr">
        <is>
          <t>Reprokábel, transparentný, 2x2,5mm, 50m/kotúč</t>
        </is>
      </c>
      <c r="C1408" s="1" t="n">
        <v>3.19</v>
      </c>
      <c r="D1408" s="7" t="n">
        <f>HYPERLINK("https://www.somogyi.sk/product/reprokabel-transparentny-2x2-5mm-50m-kotuc-kl-2-5t-2625","https://www.somogyi.sk/product/reprokabel-transparentny-2x2-5mm-50m-kotuc-kl-2-5t-2625")</f>
        <v>0.0</v>
      </c>
      <c r="E1408" s="7" t="n">
        <f>HYPERLINK("https://www.somogyi.sk/productimages/product_main_images/small/02625.jpg","https://www.somogyi.sk/productimages/product_main_images/small/02625.jpg")</f>
        <v>0.0</v>
      </c>
      <c r="F1408" s="2" t="inlineStr">
        <is>
          <t>5998312729403</t>
        </is>
      </c>
      <c r="G1408" s="4" t="inlineStr">
        <is>
          <t xml:space="preserve"> • materiál základnej žily: čistá meď bez kyslíka 
 • priemer vlákna: Ø 0,10 mm 
 • štruktúra kábla: 2C x (7 x 45 x  0,10 mm) 
 • farba izolácie: transparentná 
 • šírka x výška: 7,6 x 3,8 mm 
 • meter / kotúč: 50 m / kotúč</t>
        </is>
      </c>
    </row>
    <row r="1409">
      <c r="A1409" s="3" t="inlineStr">
        <is>
          <t>KL 0,75</t>
        </is>
      </c>
      <c r="B1409" s="2" t="inlineStr">
        <is>
          <t>Reprokábel, červeno-čierny, 2x0,75mm, 100m/kotúč</t>
        </is>
      </c>
      <c r="C1409" s="1" t="n">
        <v>0.99</v>
      </c>
      <c r="D1409" s="7" t="n">
        <f>HYPERLINK("https://www.somogyi.sk/product/reprokabel-cerveno-cierny-2x0-75mm-100m-kotuc-kl-0-75-2818","https://www.somogyi.sk/product/reprokabel-cerveno-cierny-2x0-75mm-100m-kotuc-kl-0-75-2818")</f>
        <v>0.0</v>
      </c>
      <c r="E1409" s="7" t="n">
        <f>HYPERLINK("https://www.somogyi.sk/productimages/product_main_images/small/02818.jpg","https://www.somogyi.sk/productimages/product_main_images/small/02818.jpg")</f>
        <v>0.0</v>
      </c>
      <c r="F1409" s="2" t="inlineStr">
        <is>
          <t>5998312731420</t>
        </is>
      </c>
      <c r="G1409" s="4" t="inlineStr">
        <is>
          <t xml:space="preserve"> • materiál základnej žily: čistá meď bez kyslíka 
 • priemer vlákna: Ø 0,10 mm 
 • štruktúra kábla: 2C x (96 x 0,10 mm) 
 • farba izolácie: červeno - čierna 
 • šírka x výška: 4,6 x 2,3 mm 
 • meter / kotúč: 100 m / kotúč</t>
        </is>
      </c>
    </row>
    <row r="1410">
      <c r="A1410" s="3" t="inlineStr">
        <is>
          <t>KL 1,5T</t>
        </is>
      </c>
      <c r="B1410" s="2" t="inlineStr">
        <is>
          <t>Reprokábel, transparentný, 2x1,5mm, 100m/kotúč</t>
        </is>
      </c>
      <c r="C1410" s="1" t="n">
        <v>1.89</v>
      </c>
      <c r="D1410" s="7" t="n">
        <f>HYPERLINK("https://www.somogyi.sk/product/reprokabel-transparentny-2x1-5mm-100m-kotuc-kl-1-5t-2039","https://www.somogyi.sk/product/reprokabel-transparentny-2x1-5mm-100m-kotuc-kl-1-5t-2039")</f>
        <v>0.0</v>
      </c>
      <c r="E1410" s="7" t="n">
        <f>HYPERLINK("https://www.somogyi.sk/productimages/product_main_images/small/02039.jpg","https://www.somogyi.sk/productimages/product_main_images/small/02039.jpg")</f>
        <v>0.0</v>
      </c>
      <c r="F1410" s="2" t="inlineStr">
        <is>
          <t>5998312722329</t>
        </is>
      </c>
      <c r="G1410" s="4" t="inlineStr">
        <is>
          <t xml:space="preserve"> • materiál základnej žily: čistá meď bez kyslíka 
 • priemer vlákna: Ø 0,10 mm 
 • štruktúra kábla: 2C x (7 x 27 x 0,10 mm) 
 • farba izolácie: transparentná 
 • šírka x výška: 7 x 3,5 mm 
 • meter / kotúč: 100 m / kotúč</t>
        </is>
      </c>
    </row>
    <row r="1411">
      <c r="A1411" s="3" t="inlineStr">
        <is>
          <t>KL 1</t>
        </is>
      </c>
      <c r="B1411" s="2" t="inlineStr">
        <is>
          <t>Reprokábel, červeno-čierny, 2x1mm, 100m/kotúč</t>
        </is>
      </c>
      <c r="C1411" s="1" t="n">
        <v>1.15</v>
      </c>
      <c r="D1411" s="7" t="n">
        <f>HYPERLINK("https://www.somogyi.sk/product/reprokabel-cerveno-cierny-2x1mm-100m-kotuc-kl-1-2819","https://www.somogyi.sk/product/reprokabel-cerveno-cierny-2x1mm-100m-kotuc-kl-1-2819")</f>
        <v>0.0</v>
      </c>
      <c r="E1411" s="7" t="n">
        <f>HYPERLINK("https://www.somogyi.sk/productimages/product_main_images/small/02819.jpg","https://www.somogyi.sk/productimages/product_main_images/small/02819.jpg")</f>
        <v>0.0</v>
      </c>
      <c r="F1411" s="2" t="inlineStr">
        <is>
          <t>5998312731437</t>
        </is>
      </c>
      <c r="G1411" s="4" t="inlineStr">
        <is>
          <t xml:space="preserve"> • materiál základnej žily: čistá meď bez kyslíka 
 • priemer vlákna: Ø 0,10 mm 
 • štruktúra kábla: 2C x (127 x 0,10 mm) 
 • farba izolácie: červeno - čierna 
 • šírka x výška: 6 x 3 mm 
 • meter / kotúč: 100 m / kotúč</t>
        </is>
      </c>
    </row>
    <row r="1412">
      <c r="A1412" s="3" t="inlineStr">
        <is>
          <t>KL 1,5</t>
        </is>
      </c>
      <c r="B1412" s="2" t="inlineStr">
        <is>
          <t>Reprokábel, červeno-čierny, 2x1,5mm, 100m/kotúč</t>
        </is>
      </c>
      <c r="C1412" s="1" t="n">
        <v>1.89</v>
      </c>
      <c r="D1412" s="7" t="n">
        <f>HYPERLINK("https://www.somogyi.sk/product/reprokabel-cerveno-cierny-2x1-5mm-100m-kotuc-kl-1-5-2820","https://www.somogyi.sk/product/reprokabel-cerveno-cierny-2x1-5mm-100m-kotuc-kl-1-5-2820")</f>
        <v>0.0</v>
      </c>
      <c r="E1412" s="7" t="n">
        <f>HYPERLINK("https://www.somogyi.sk/productimages/product_main_images/small/02820.jpg","https://www.somogyi.sk/productimages/product_main_images/small/02820.jpg")</f>
        <v>0.0</v>
      </c>
      <c r="F1412" s="2" t="inlineStr">
        <is>
          <t>5998312731444</t>
        </is>
      </c>
      <c r="G1412" s="4" t="inlineStr">
        <is>
          <t xml:space="preserve"> • materiál základnej žily: čistá meď bez kyslíka 
 • priemer vlákna: Ø 0,10 mm 
 • štruktúra kábla: 2C x (7 x 27 x 0,10 mm) 
 • farba izolácie: červeno - čierna 
 • šírka x výška: 7 x 3,5 mm 
 • meter / kotúč: 100 m / kotúč</t>
        </is>
      </c>
    </row>
    <row r="1413">
      <c r="A1413" s="3" t="inlineStr">
        <is>
          <t>KL 1,5-10X</t>
        </is>
      </c>
      <c r="B1413" s="2" t="inlineStr">
        <is>
          <t>Reprokábel, červeno-čierny, 2x1,5mm, 10m, blister</t>
        </is>
      </c>
      <c r="C1413" s="1" t="n">
        <v>5.29</v>
      </c>
      <c r="D1413" s="7" t="n">
        <f>HYPERLINK("https://www.somogyi.sk/product/reprokabel-cerveno-cierny-2x1-5mm-10m-blister-kl-1-5-10x-2867","https://www.somogyi.sk/product/reprokabel-cerveno-cierny-2x1-5mm-10m-blister-kl-1-5-10x-2867")</f>
        <v>0.0</v>
      </c>
      <c r="E1413" s="7" t="n">
        <f>HYPERLINK("https://www.somogyi.sk/productimages/product_main_images/small/02867.jpg","https://www.somogyi.sk/productimages/product_main_images/small/02867.jpg")</f>
        <v>0.0</v>
      </c>
      <c r="F1413" s="2" t="inlineStr">
        <is>
          <t>5998312731918</t>
        </is>
      </c>
      <c r="G1413" s="4" t="inlineStr">
        <is>
          <t xml:space="preserve"> • materiál základnej žily: čistá meď bez kyslíka 
 • priemer vlákna: Ø 0,10 mm 
 • štruktúra kábla: 2C x (7 x 27 x 0,10 mm) 
 • farba izolácie: transparentná 
 • šírka x výška: 6 x 3 mm 
 • meter / kotúč: 10 m 
 • blister: áno</t>
        </is>
      </c>
    </row>
    <row r="1414">
      <c r="A1414" s="3" t="inlineStr">
        <is>
          <t>KL 0,35-20X</t>
        </is>
      </c>
      <c r="B1414" s="2" t="inlineStr">
        <is>
          <t>Reprokábel, červeno-čierny, 2x0,35mm, 20m, blister</t>
        </is>
      </c>
      <c r="C1414" s="1" t="n">
        <v>4.19</v>
      </c>
      <c r="D1414" s="7" t="n">
        <f>HYPERLINK("https://www.somogyi.sk/product/reprokabel-cerveno-cierny-2x0-35mm-20m-blister-kl-0-35-20x-2943","https://www.somogyi.sk/product/reprokabel-cerveno-cierny-2x0-35mm-20m-blister-kl-0-35-20x-2943")</f>
        <v>0.0</v>
      </c>
      <c r="E1414" s="7" t="n">
        <f>HYPERLINK("https://www.somogyi.sk/productimages/product_main_images/small/02943.jpg","https://www.somogyi.sk/productimages/product_main_images/small/02943.jpg")</f>
        <v>0.0</v>
      </c>
      <c r="F1414" s="2" t="inlineStr">
        <is>
          <t>5998312732670</t>
        </is>
      </c>
      <c r="G1414" s="4" t="inlineStr">
        <is>
          <t xml:space="preserve"> • materiál základnej žily: čistá meď bez kyslíka 
 • priemer vlákna: Ø 0,10 mm 
 • štruktúra kábla: 2C x (45 x 0,10 mm) 
 • farba izolácie: červeno - čierna 
 • šírka x výška: 4 x 2 mm 
 • meter / kotúč: 20 m 
 • blister: áno</t>
        </is>
      </c>
    </row>
    <row r="1415">
      <c r="A1415" s="3" t="inlineStr">
        <is>
          <t>KL 2,5T-10X</t>
        </is>
      </c>
      <c r="B1415" s="2" t="inlineStr">
        <is>
          <t>Reprokábel, transparentný, 2x2,5mm, 10m, blister</t>
        </is>
      </c>
      <c r="C1415" s="1" t="n">
        <v>10.49</v>
      </c>
      <c r="D1415" s="7" t="n">
        <f>HYPERLINK("https://www.somogyi.sk/product/reprokabel-transparentny-2x2-5mm-10m-blister-kl-2-5t-10x-2955","https://www.somogyi.sk/product/reprokabel-transparentny-2x2-5mm-10m-blister-kl-2-5t-10x-2955")</f>
        <v>0.0</v>
      </c>
      <c r="E1415" s="7" t="n">
        <f>HYPERLINK("https://www.somogyi.sk/productimages/product_main_images/small/02955.jpg","https://www.somogyi.sk/productimages/product_main_images/small/02955.jpg")</f>
        <v>0.0</v>
      </c>
      <c r="F1415" s="2" t="inlineStr">
        <is>
          <t>5998312732793</t>
        </is>
      </c>
      <c r="G1415" s="4" t="inlineStr">
        <is>
          <t xml:space="preserve"> • materiál základnej žily: čistá meď bez kyslíka 
 • priemer vlákna: Ø 0,10 mm 
 • štruktúra kábla: 2C x (7 x 45 x  0,10 mm) 
 • farba izolácie: transparentná 
 • šírka x výška: 7,6 x 3,8 mm 
 • meter / kotúč: 10 m 
 • blister: áno</t>
        </is>
      </c>
    </row>
    <row r="1416">
      <c r="A1416" s="3" t="inlineStr">
        <is>
          <t>KL 0,75T</t>
        </is>
      </c>
      <c r="B1416" s="2" t="inlineStr">
        <is>
          <t>Reprokábel, transparentný, 2x0,75mm, 100m/kotúč</t>
        </is>
      </c>
      <c r="C1416" s="1" t="n">
        <v>0.99</v>
      </c>
      <c r="D1416" s="7" t="n">
        <f>HYPERLINK("https://www.somogyi.sk/product/reprokabel-transparentny-2x0-75mm-100m-kotuc-kl-0-75t-1800","https://www.somogyi.sk/product/reprokabel-transparentny-2x0-75mm-100m-kotuc-kl-0-75t-1800")</f>
        <v>0.0</v>
      </c>
      <c r="E1416" s="7" t="n">
        <f>HYPERLINK("https://www.somogyi.sk/productimages/product_main_images/small/01800.jpg","https://www.somogyi.sk/productimages/product_main_images/small/01800.jpg")</f>
        <v>0.0</v>
      </c>
      <c r="F1416" s="2" t="inlineStr">
        <is>
          <t>5998312702871</t>
        </is>
      </c>
      <c r="G1416" s="4" t="inlineStr">
        <is>
          <t xml:space="preserve"> • materiál základnej žily: čistá meď bez kyslíka 
 • priemer vlákna: Ø 0,10 mm 
 • štruktúra kábla: 2C x (96 x 0,10 mm) 
 • farba izolácie: transparentná 
 • šírka x výška: 4,6 x 2,3 mm 
 • meter / kotúč: 100 m / kotúč</t>
        </is>
      </c>
    </row>
    <row r="1417">
      <c r="A1417" s="3" t="inlineStr">
        <is>
          <t>KL 0,5</t>
        </is>
      </c>
      <c r="B1417" s="2" t="inlineStr">
        <is>
          <t>Reprokábel, červeno-čierny, 2x0,5mm, 100m/kotúč</t>
        </is>
      </c>
      <c r="C1417" s="1" t="n">
        <v>0.65</v>
      </c>
      <c r="D1417" s="7" t="n">
        <f>HYPERLINK("https://www.somogyi.sk/product/reprokabel-cerveno-cierny-2x0-5mm-100m-kotuc-kl-0-5-1799","https://www.somogyi.sk/product/reprokabel-cerveno-cierny-2x0-5mm-100m-kotuc-kl-0-5-1799")</f>
        <v>0.0</v>
      </c>
      <c r="E1417" s="7" t="n">
        <f>HYPERLINK("https://www.somogyi.sk/productimages/product_main_images/small/01799.jpg","https://www.somogyi.sk/productimages/product_main_images/small/01799.jpg")</f>
        <v>0.0</v>
      </c>
      <c r="F1417" s="2" t="inlineStr">
        <is>
          <t>5998312702857</t>
        </is>
      </c>
      <c r="G1417" s="4" t="inlineStr">
        <is>
          <t xml:space="preserve"> • materiál základnej žily: čistá meď bez kyslíka 
 • priemer vlákna: Ø 0,10 mm 
 • štruktúra kábla: 2C x (64 x 0,10 mm) 
 • farba izolácie: červeno - čierna 
 • šírka x výška: 5 x 2,5 mm 
 • meter / kotúč: 100 m / kotúč</t>
        </is>
      </c>
    </row>
    <row r="1418">
      <c r="A1418" s="3" t="inlineStr">
        <is>
          <t>KL 2,5 SILVER</t>
        </is>
      </c>
      <c r="B1418" s="2" t="inlineStr">
        <is>
          <t>2x2,5 mm reprokábel, prémium, so striebrom</t>
        </is>
      </c>
      <c r="C1418" s="1" t="n">
        <v>5.29</v>
      </c>
      <c r="D1418" s="7" t="n">
        <f>HYPERLINK("https://www.somogyi.sk/product/2x2-5-mm-reprokabel-premium-so-striebrom-kl-2-5-silver-17374","https://www.somogyi.sk/product/2x2-5-mm-reprokabel-premium-so-striebrom-kl-2-5-silver-17374")</f>
        <v>0.0</v>
      </c>
      <c r="E1418" s="7" t="n">
        <f>HYPERLINK("https://www.somogyi.sk/productimages/product_main_images/small/17374.jpg","https://www.somogyi.sk/productimages/product_main_images/small/17374.jpg")</f>
        <v>0.0</v>
      </c>
      <c r="F1418" s="2" t="inlineStr">
        <is>
          <t>5999084953966</t>
        </is>
      </c>
      <c r="G1418" s="4" t="inlineStr">
        <is>
          <t xml:space="preserve"> • priemer vlákna: Ø 0,25 mm 
 • štruktúra kábla: 2C x (2 x 51 x 0,25 mm) 
 • farba izolácie: transparentný 
 • šírka x výška: 7,6 x 3,8 mm 
 • meter / kotúč: 25 m / kotúč</t>
        </is>
      </c>
    </row>
    <row r="1419">
      <c r="A1419" s="3" t="inlineStr">
        <is>
          <t>KLS 0,15</t>
        </is>
      </c>
      <c r="B1419" s="2" t="inlineStr">
        <is>
          <t>Reprokábel, červeno-čierny, 2x0,15 mm, 100 m/kotúč</t>
        </is>
      </c>
      <c r="C1419" s="1" t="n">
        <v>0.14</v>
      </c>
      <c r="D1419" s="7" t="n">
        <f>HYPERLINK("https://www.somogyi.sk/product/reprokabel-cerveno-cierny-2x0-15-mm-100-m-kotuc-kls-0-15-6566","https://www.somogyi.sk/product/reprokabel-cerveno-cierny-2x0-15-mm-100-m-kotuc-kls-0-15-6566")</f>
        <v>0.0</v>
      </c>
      <c r="E1419" s="7" t="n">
        <f>HYPERLINK("https://www.somogyi.sk/productimages/product_main_images/small/06566.jpg","https://www.somogyi.sk/productimages/product_main_images/small/06566.jpg")</f>
        <v>0.0</v>
      </c>
      <c r="F1419" s="2" t="inlineStr">
        <is>
          <t>5998312756065</t>
        </is>
      </c>
      <c r="G1419" s="4" t="inlineStr">
        <is>
          <t xml:space="preserve"> • materiál základnej žily: medený hliník 
 • priemer vlákna: Ø 0,15 mm 
 • štruktúra kábla: 2C x (9 x  0,15 mm) 
 • farba izolácie: červeno - čierna 
 • šírka x výška: 3,6 x 1,8 mm 
 • meter / kotúč: 100 m / kotúč</t>
        </is>
      </c>
    </row>
    <row r="1420">
      <c r="A1420" s="3" t="inlineStr">
        <is>
          <t>KLS 0,35</t>
        </is>
      </c>
      <c r="B1420" s="2" t="inlineStr">
        <is>
          <t>Reprokábel, červeno-čierny, 2x0,35 mm, 100 m/kotúč</t>
        </is>
      </c>
      <c r="C1420" s="1" t="n">
        <v>0.19</v>
      </c>
      <c r="D1420" s="7" t="n">
        <f>HYPERLINK("https://www.somogyi.sk/product/reprokabel-cerveno-cierny-2x0-35-mm-100-m-kotuc-kls-0-35-6567","https://www.somogyi.sk/product/reprokabel-cerveno-cierny-2x0-35-mm-100-m-kotuc-kls-0-35-6567")</f>
        <v>0.0</v>
      </c>
      <c r="E1420" s="7" t="n">
        <f>HYPERLINK("https://www.somogyi.sk/productimages/product_main_images/small/06567.jpg","https://www.somogyi.sk/productimages/product_main_images/small/06567.jpg")</f>
        <v>0.0</v>
      </c>
      <c r="F1420" s="2" t="inlineStr">
        <is>
          <t>5998312756072</t>
        </is>
      </c>
      <c r="G1420" s="4" t="inlineStr">
        <is>
          <t xml:space="preserve"> • materiál základnej žily: medený hliník 
 • priemer vlákna: Ø 0,15 mm 
 • štruktúra kábla: 2C x (20 x  0,15 mm) 
 • farba izolácie: červeno - čierna 
 • šírka x výška: 4,4 x 2,2 mm 
 • meter / kotúč: 100 m / kotúč</t>
        </is>
      </c>
    </row>
    <row r="1421">
      <c r="A1421" s="3" t="inlineStr">
        <is>
          <t>KLS 0,5</t>
        </is>
      </c>
      <c r="B1421" s="2" t="inlineStr">
        <is>
          <t>Reprokábel, červeno-čierny, 2x0,5 mm, 100 m/kotúč</t>
        </is>
      </c>
      <c r="C1421" s="1" t="n">
        <v>0.24</v>
      </c>
      <c r="D1421" s="7" t="n">
        <f>HYPERLINK("https://www.somogyi.sk/product/reprokabel-cerveno-cierny-2x0-5-mm-100-m-kotuc-kls-0-5-6568","https://www.somogyi.sk/product/reprokabel-cerveno-cierny-2x0-5-mm-100-m-kotuc-kls-0-5-6568")</f>
        <v>0.0</v>
      </c>
      <c r="E1421" s="7" t="n">
        <f>HYPERLINK("https://www.somogyi.sk/productimages/product_main_images/small/06568.jpg","https://www.somogyi.sk/productimages/product_main_images/small/06568.jpg")</f>
        <v>0.0</v>
      </c>
      <c r="F1421" s="2" t="inlineStr">
        <is>
          <t>5998312756089</t>
        </is>
      </c>
      <c r="G1421" s="4" t="inlineStr">
        <is>
          <t xml:space="preserve"> • materiál základnej žily: medený hliník 
 • priemer vlákna: Ø 0,15 mm 
 • štruktúra kábla: 2C x (29 x  0,15 mm) 
 • farba izolácie: červeno - čierna 
 • šírka x výška: 5 x 2,5 mm 
 • meter / kotúč: 100 m / kotúč</t>
        </is>
      </c>
    </row>
    <row r="1422">
      <c r="A1422" s="3" t="inlineStr">
        <is>
          <t>KLS 0,75</t>
        </is>
      </c>
      <c r="B1422" s="2" t="inlineStr">
        <is>
          <t>Reprokábel, červeno-čierny, 2x0,75 mm, 100 m/kotúč</t>
        </is>
      </c>
      <c r="C1422" s="1" t="n">
        <v>0.3</v>
      </c>
      <c r="D1422" s="7" t="n">
        <f>HYPERLINK("https://www.somogyi.sk/product/reprokabel-cerveno-cierny-2x0-75-mm-100-m-kotuc-kls-0-75-6569","https://www.somogyi.sk/product/reprokabel-cerveno-cierny-2x0-75-mm-100-m-kotuc-kls-0-75-6569")</f>
        <v>0.0</v>
      </c>
      <c r="E1422" s="7" t="n">
        <f>HYPERLINK("https://www.somogyi.sk/productimages/product_main_images/small/06569.jpg","https://www.somogyi.sk/productimages/product_main_images/small/06569.jpg")</f>
        <v>0.0</v>
      </c>
      <c r="F1422" s="2" t="inlineStr">
        <is>
          <t>5998312756096</t>
        </is>
      </c>
      <c r="G1422" s="4" t="inlineStr">
        <is>
          <t xml:space="preserve"> • materiál základnej žily: medený hliník 
 • priemer vlákna: Ø 0,15 mm 
 • štruktúra kábla: 2C x (43 x  0,15 mm) 
 • farba izolácie: červeno - čierna 
 • šírka x výška: 5 x 2,5 mm 
 • meter / kotúč: 100 m / kotúč</t>
        </is>
      </c>
    </row>
    <row r="1423">
      <c r="A1423" s="3" t="inlineStr">
        <is>
          <t>KLS 4T</t>
        </is>
      </c>
      <c r="B1423" s="2" t="inlineStr">
        <is>
          <t>Reprokábel, transparentný, 2x4 mm, 50 m/kotúč</t>
        </is>
      </c>
      <c r="C1423" s="1" t="n">
        <v>1.39</v>
      </c>
      <c r="D1423" s="7" t="n">
        <f>HYPERLINK("https://www.somogyi.sk/product/reprokabel-transparentny-2x4-mm-50-m-kotuc-kls-4t-6578","https://www.somogyi.sk/product/reprokabel-transparentny-2x4-mm-50-m-kotuc-kls-4t-6578")</f>
        <v>0.0</v>
      </c>
      <c r="E1423" s="7" t="n">
        <f>HYPERLINK("https://www.somogyi.sk/productimages/product_main_images/small/06578.jpg","https://www.somogyi.sk/productimages/product_main_images/small/06578.jpg")</f>
        <v>0.0</v>
      </c>
      <c r="F1423" s="2" t="inlineStr">
        <is>
          <t>5998312756171</t>
        </is>
      </c>
      <c r="G1423" s="4" t="inlineStr">
        <is>
          <t xml:space="preserve"> • materiál základnej žily: medený hliník 
 • priemer vlákna: Ø 0,15 mm 
 • štruktúra kábla: 2C x (7 x 33 x 0,15 mm) 
 • farba izolácie: transparentná 
 • šírka x výška: 8,8 x 4,4 mm 
 • meter / kotúč: 50 m / kotúč</t>
        </is>
      </c>
    </row>
    <row r="1424">
      <c r="A1424" s="3" t="inlineStr">
        <is>
          <t>KLS 6T</t>
        </is>
      </c>
      <c r="B1424" s="2" t="inlineStr">
        <is>
          <t>Reprokábel, transparentný, 2x6 mm, 25 m/kotúč</t>
        </is>
      </c>
      <c r="C1424" s="1" t="n">
        <v>1.79</v>
      </c>
      <c r="D1424" s="7" t="n">
        <f>HYPERLINK("https://www.somogyi.sk/product/reprokabel-transparentny-2x6-mm-25-m-kotuc-kls-6t-6579","https://www.somogyi.sk/product/reprokabel-transparentny-2x6-mm-25-m-kotuc-kls-6t-6579")</f>
        <v>0.0</v>
      </c>
      <c r="E1424" s="7" t="n">
        <f>HYPERLINK("https://www.somogyi.sk/productimages/product_main_images/small/06579.jpg","https://www.somogyi.sk/productimages/product_main_images/small/06579.jpg")</f>
        <v>0.0</v>
      </c>
      <c r="F1424" s="2" t="inlineStr">
        <is>
          <t>5998312756188</t>
        </is>
      </c>
      <c r="G1424" s="4" t="inlineStr">
        <is>
          <t xml:space="preserve"> • materiál základnej žily: medený hliník 
 • priemer vlákna: Ø 0,15 mm 
 • štruktúra kábla: 2C x (7 x 49 x 0,15 mm) 
 • farba izolácie: transparentná 
 • šírka x výška: 12 x 6 mm 
 • meter / kotúč: 25 m / kotúč</t>
        </is>
      </c>
    </row>
    <row r="1425">
      <c r="A1425" s="3" t="inlineStr">
        <is>
          <t>KLS 1,5</t>
        </is>
      </c>
      <c r="B1425" s="2" t="inlineStr">
        <is>
          <t>Reprokábel, červeno-čierny, 2x1,5 mm, 100 m/kotúč</t>
        </is>
      </c>
      <c r="C1425" s="1" t="n">
        <v>0.49</v>
      </c>
      <c r="D1425" s="7" t="n">
        <f>HYPERLINK("https://www.somogyi.sk/product/reprokabel-cerveno-cierny-2x1-5-mm-100-m-kotuc-kls-1-5-6571","https://www.somogyi.sk/product/reprokabel-cerveno-cierny-2x1-5-mm-100-m-kotuc-kls-1-5-6571")</f>
        <v>0.0</v>
      </c>
      <c r="E1425" s="7" t="n">
        <f>HYPERLINK("https://www.somogyi.sk/productimages/product_main_images/small/06571.jpg","https://www.somogyi.sk/productimages/product_main_images/small/06571.jpg")</f>
        <v>0.0</v>
      </c>
      <c r="F1425" s="2" t="inlineStr">
        <is>
          <t>5998312756119</t>
        </is>
      </c>
      <c r="G1425" s="4" t="inlineStr">
        <is>
          <t xml:space="preserve"> • materiál základnej žily: medený hliník 
 • priemer vlákna: Ø 0,15 mm 
 • štruktúra kábla: 2C x (85 x  0,15 mm) 
 • farba izolácie: červeno - čierna 
 • šírka x výška: 7 x 3,5 mm 
 • meter / kotúč: 100 m / kotúč</t>
        </is>
      </c>
    </row>
    <row r="1426">
      <c r="A1426" s="3" t="inlineStr">
        <is>
          <t>KLS 0,5T</t>
        </is>
      </c>
      <c r="B1426" s="2" t="inlineStr">
        <is>
          <t>Reprokábel, transparentný, 2x0,5 mm, 100 m/kotúč</t>
        </is>
      </c>
      <c r="C1426" s="1" t="n">
        <v>0.24</v>
      </c>
      <c r="D1426" s="7" t="n">
        <f>HYPERLINK("https://www.somogyi.sk/product/reprokabel-transparentny-2x0-5-mm-100-m-kotuc-kls-0-5t-6573","https://www.somogyi.sk/product/reprokabel-transparentny-2x0-5-mm-100-m-kotuc-kls-0-5t-6573")</f>
        <v>0.0</v>
      </c>
      <c r="E1426" s="7" t="n">
        <f>HYPERLINK("https://www.somogyi.sk/productimages/product_main_images/small/06573.jpg","https://www.somogyi.sk/productimages/product_main_images/small/06573.jpg")</f>
        <v>0.0</v>
      </c>
      <c r="F1426" s="2" t="inlineStr">
        <is>
          <t>5998312756126</t>
        </is>
      </c>
      <c r="G1426" s="4" t="inlineStr">
        <is>
          <t xml:space="preserve"> • materiál základnej žily: medený hliník 
 • priemer vlákna: Ø 0,15 mm 
 • štruktúra kábla: 2C x (29 x  0,15 mm) 
 • farba izolácie: transparentná 
 • šírka x výška: 5 x 2,5 mm 
 • meter / kotúč: 100 m / kotúč</t>
        </is>
      </c>
    </row>
    <row r="1427">
      <c r="A1427" s="3" t="inlineStr">
        <is>
          <t>KLS 0,75T</t>
        </is>
      </c>
      <c r="B1427" s="2" t="inlineStr">
        <is>
          <t>Reprokábel, transparentný, 2x0,75 mm, 100 m/kotúč</t>
        </is>
      </c>
      <c r="C1427" s="1" t="n">
        <v>0.3</v>
      </c>
      <c r="D1427" s="7" t="n">
        <f>HYPERLINK("https://www.somogyi.sk/product/reprokabel-transparentny-2x0-75-mm-100-m-kotuc-kls-0-75t-6574","https://www.somogyi.sk/product/reprokabel-transparentny-2x0-75-mm-100-m-kotuc-kls-0-75t-6574")</f>
        <v>0.0</v>
      </c>
      <c r="E1427" s="7" t="n">
        <f>HYPERLINK("https://www.somogyi.sk/productimages/product_main_images/small/06574.jpg","https://www.somogyi.sk/productimages/product_main_images/small/06574.jpg")</f>
        <v>0.0</v>
      </c>
      <c r="F1427" s="2" t="inlineStr">
        <is>
          <t>5998312756133</t>
        </is>
      </c>
      <c r="G1427" s="4" t="inlineStr">
        <is>
          <t xml:space="preserve"> • materiál základnej žily: medený hliník 
 • priemer vlákna: Ø 0,15 mm 
 • štruktúra kábla: 2C x (43 x  0,15 mm) 
 • farba izolácie: transparentná 
 • šírka x výška: 5 x 2,5 mm 
 • meter / kotúč: 100 m / kotúč</t>
        </is>
      </c>
    </row>
    <row r="1428">
      <c r="A1428" s="3" t="inlineStr">
        <is>
          <t>KLS 2,5T</t>
        </is>
      </c>
      <c r="B1428" s="2" t="inlineStr">
        <is>
          <t>Reprokábel, transparentný, 2x2,5 mm, 50 m/kotúč</t>
        </is>
      </c>
      <c r="C1428" s="1" t="n">
        <v>0.99</v>
      </c>
      <c r="D1428" s="7" t="n">
        <f>HYPERLINK("https://www.somogyi.sk/product/reprokabel-transparentny-2x2-5-mm-50-m-kotuc-kls-2-5t-6577","https://www.somogyi.sk/product/reprokabel-transparentny-2x2-5-mm-50-m-kotuc-kls-2-5t-6577")</f>
        <v>0.0</v>
      </c>
      <c r="E1428" s="7" t="n">
        <f>HYPERLINK("https://www.somogyi.sk/productimages/product_main_images/small/06577.jpg","https://www.somogyi.sk/productimages/product_main_images/small/06577.jpg")</f>
        <v>0.0</v>
      </c>
      <c r="F1428" s="2" t="inlineStr">
        <is>
          <t>5998312756164</t>
        </is>
      </c>
      <c r="G1428" s="4" t="inlineStr">
        <is>
          <t xml:space="preserve"> • materiál základnej žily: medený hliník 
 • priemer vlákna: Ø 0,15 mm 
 • štruktúra kábla: 2C x (7 x 21 x 0,15 mm) 
 • farba izolácie: transparentná 
 • šírka x výška: 9 x 4,5 mm 
 • meter / kotúč: 50 m / kotúč</t>
        </is>
      </c>
    </row>
    <row r="1429">
      <c r="A1429" s="3" t="inlineStr">
        <is>
          <t>KLS 1,5T</t>
        </is>
      </c>
      <c r="B1429" s="2" t="inlineStr">
        <is>
          <t>Reprokábel, transparentný, 2x1,5 mm, 100 m/kotúč</t>
        </is>
      </c>
      <c r="C1429" s="1" t="n">
        <v>0.49</v>
      </c>
      <c r="D1429" s="7" t="n">
        <f>HYPERLINK("https://www.somogyi.sk/product/reprokabel-transparentny-2x1-5-mm-100-m-kotuc-kls-1-5t-6576","https://www.somogyi.sk/product/reprokabel-transparentny-2x1-5-mm-100-m-kotuc-kls-1-5t-6576")</f>
        <v>0.0</v>
      </c>
      <c r="E1429" s="7" t="n">
        <f>HYPERLINK("https://www.somogyi.sk/productimages/product_main_images/small/06576.jpg","https://www.somogyi.sk/productimages/product_main_images/small/06576.jpg")</f>
        <v>0.0</v>
      </c>
      <c r="F1429" s="2" t="inlineStr">
        <is>
          <t>5998312756157</t>
        </is>
      </c>
      <c r="G1429" s="4" t="inlineStr">
        <is>
          <t xml:space="preserve"> • materiál základnej žily: medený hliník 
 • priemer vlákna: Ø 0,15 mm 
 • štruktúra kábla: 2C x (85 x  0,15 mm) 
 • farba izolácie: transparentná 
 • šírka x výška: 7 x 3,5 mm 
 • meter / kotúč: 100 m / kotúč</t>
        </is>
      </c>
    </row>
    <row r="1430">
      <c r="A1430" s="3" t="inlineStr">
        <is>
          <t>KLS 1T</t>
        </is>
      </c>
      <c r="B1430" s="2" t="inlineStr">
        <is>
          <t>Reprokábel, transparentný, 2x1 mm, 100 m/kotúč</t>
        </is>
      </c>
      <c r="C1430" s="1" t="n">
        <v>0.39</v>
      </c>
      <c r="D1430" s="7" t="n">
        <f>HYPERLINK("https://www.somogyi.sk/product/reprokabel-transparentny-2x1-mm-100-m-kotuc-kls-1t-6575","https://www.somogyi.sk/product/reprokabel-transparentny-2x1-mm-100-m-kotuc-kls-1t-6575")</f>
        <v>0.0</v>
      </c>
      <c r="E1430" s="7" t="n">
        <f>HYPERLINK("https://www.somogyi.sk/productimages/product_main_images/small/06575.jpg","https://www.somogyi.sk/productimages/product_main_images/small/06575.jpg")</f>
        <v>0.0</v>
      </c>
      <c r="F1430" s="2" t="inlineStr">
        <is>
          <t>5998312756140</t>
        </is>
      </c>
      <c r="G1430" s="4" t="inlineStr">
        <is>
          <t xml:space="preserve"> • materiál základnej žily: medený hliník 
 • priemer vlákna: Ø 0,15 mm 
 • štruktúra kábla: 2C x (57 x  0,15 mm) 
 • farba izolácie: transparentná 
 • šírka x výška: 6 x 3 mm 
 • meter / kotúč: 100 m / kotúč</t>
        </is>
      </c>
    </row>
    <row r="1431">
      <c r="A1431" s="3" t="inlineStr">
        <is>
          <t>KLS 1</t>
        </is>
      </c>
      <c r="B1431" s="2" t="inlineStr">
        <is>
          <t>Reprokábel, červeno-čierny, 2x1 mm, 100 m/kotúč</t>
        </is>
      </c>
      <c r="C1431" s="1" t="n">
        <v>0.39</v>
      </c>
      <c r="D1431" s="7" t="n">
        <f>HYPERLINK("https://www.somogyi.sk/product/reprokabel-cerveno-cierny-2x1-mm-100-m-kotuc-kls-1-6570","https://www.somogyi.sk/product/reprokabel-cerveno-cierny-2x1-mm-100-m-kotuc-kls-1-6570")</f>
        <v>0.0</v>
      </c>
      <c r="E1431" s="7" t="n">
        <f>HYPERLINK("https://www.somogyi.sk/productimages/product_main_images/small/06570.jpg","https://www.somogyi.sk/productimages/product_main_images/small/06570.jpg")</f>
        <v>0.0</v>
      </c>
      <c r="F1431" s="2" t="inlineStr">
        <is>
          <t>5998312756102</t>
        </is>
      </c>
      <c r="G1431" s="4" t="inlineStr">
        <is>
          <t xml:space="preserve"> • materiál základnej žily: medený hliník 
 • priemer vlákna: Ø 0,15 mm 
 • štruktúra kábla: 2C x (57 x  0,15 mm) 
 • farba izolácie: červeno - čierna 
 • šírka x výška: 6 x 3 mm 
 • meter / kotúč: 100 m / kotúč</t>
        </is>
      </c>
    </row>
    <row r="1432">
      <c r="A1432" s="3" t="inlineStr">
        <is>
          <t>KL 0,35</t>
        </is>
      </c>
      <c r="B1432" s="2" t="inlineStr">
        <is>
          <t>Reprokábel, červeno-čierny, 2x0,35mm, 100m/kotúč</t>
        </is>
      </c>
      <c r="C1432" s="1" t="n">
        <v>0.45</v>
      </c>
      <c r="D1432" s="7" t="n">
        <f>HYPERLINK("https://www.somogyi.sk/product/reprokabel-cerveno-cierny-2x0-35mm-100m-kotuc-kl-0-35-1798","https://www.somogyi.sk/product/reprokabel-cerveno-cierny-2x0-35mm-100m-kotuc-kl-0-35-1798")</f>
        <v>0.0</v>
      </c>
      <c r="E1432" s="7" t="n">
        <f>HYPERLINK("https://www.somogyi.sk/productimages/product_main_images/small/01798.jpg","https://www.somogyi.sk/productimages/product_main_images/small/01798.jpg")</f>
        <v>0.0</v>
      </c>
      <c r="F1432" s="2" t="inlineStr">
        <is>
          <t>5998312702840</t>
        </is>
      </c>
      <c r="G1432" s="4" t="inlineStr">
        <is>
          <t xml:space="preserve"> • materiál základnej žily: čistá meď bez kyslíka 
 • priemer vlákna: Ø 0,10 mm 
 • štruktúra kábla: 2C x (45 x 0,10 mm) 
 • farba izolácie: červeno - čierna 
 • šírka x výška: 4,4 x 2,2 mm 
 • meter / kotúč: 100 m / kotúč</t>
        </is>
      </c>
    </row>
    <row r="1433">
      <c r="A1433" s="3" t="inlineStr">
        <is>
          <t>KL 0,35-10X</t>
        </is>
      </c>
      <c r="B1433" s="2" t="inlineStr">
        <is>
          <t>Reprokábel, červeno-čierny, 2x0,35mm, 10m,blister</t>
        </is>
      </c>
      <c r="C1433" s="1" t="n">
        <v>2.19</v>
      </c>
      <c r="D1433" s="7" t="n">
        <f>HYPERLINK("https://www.somogyi.sk/product/reprokabel-cerveno-cierny-2x0-35mm-10m-blister-kl-0-35-10x-2306","https://www.somogyi.sk/product/reprokabel-cerveno-cierny-2x0-35mm-10m-blister-kl-0-35-10x-2306")</f>
        <v>0.0</v>
      </c>
      <c r="E1433" s="7" t="n">
        <f>HYPERLINK("https://www.somogyi.sk/productimages/product_main_images/small/02306.jpg","https://www.somogyi.sk/productimages/product_main_images/small/02306.jpg")</f>
        <v>0.0</v>
      </c>
      <c r="F1433" s="2" t="inlineStr">
        <is>
          <t>5998312725733</t>
        </is>
      </c>
      <c r="G1433" s="4" t="inlineStr">
        <is>
          <t xml:space="preserve"> • materiál základnej žily: čistá meď bez kyslíka 
 • priemer vlákna: Ø 0,10 mm 
 • štruktúra kábla: 2C x (45 x 0,10 mm) 
 • farba izolácie: červeno - čierna 
 • šírka x výška: 4 x 2 mm 
 • meter / kotúč: 10 m 
 • blister: áno</t>
        </is>
      </c>
    </row>
    <row r="1434">
      <c r="A1434" s="3" t="inlineStr">
        <is>
          <t>KL 0,5-10X</t>
        </is>
      </c>
      <c r="B1434" s="2" t="inlineStr">
        <is>
          <t>Reprokábel, červeno-čierny, 2x0,5mm, 10m, blister</t>
        </is>
      </c>
      <c r="C1434" s="1" t="n">
        <v>2.69</v>
      </c>
      <c r="D1434" s="7" t="n">
        <f>HYPERLINK("https://www.somogyi.sk/product/reprokabel-cerveno-cierny-2x0-5mm-10m-blister-kl-0-5-10x-2307","https://www.somogyi.sk/product/reprokabel-cerveno-cierny-2x0-5mm-10m-blister-kl-0-5-10x-2307")</f>
        <v>0.0</v>
      </c>
      <c r="E1434" s="7" t="n">
        <f>HYPERLINK("https://www.somogyi.sk/productimages/product_main_images/small/02307.jpg","https://www.somogyi.sk/productimages/product_main_images/small/02307.jpg")</f>
        <v>0.0</v>
      </c>
      <c r="F1434" s="2" t="inlineStr">
        <is>
          <t>5998312725740</t>
        </is>
      </c>
      <c r="G1434" s="4" t="inlineStr">
        <is>
          <t xml:space="preserve"> • materiál základnej žily: čistá meď bez kyslíka 
 • priemer vlákna: Ø 0,10 mm 
 • štruktúra kábla: 2C x (64 x 0,10 mm) 
 • farba izolácie: červeno - čierna 
 • šírka x výška: 4,4 x 2,2 mm 
 • meter / kotúč: 10 m 
 • blister: áno</t>
        </is>
      </c>
    </row>
    <row r="1435">
      <c r="A1435" s="3" t="inlineStr">
        <is>
          <t>KL 0,75T-10X</t>
        </is>
      </c>
      <c r="B1435" s="2" t="inlineStr">
        <is>
          <t>Reprokábel, transparentný, 2x0,75mm, 10m, blister</t>
        </is>
      </c>
      <c r="C1435" s="1" t="n">
        <v>3.19</v>
      </c>
      <c r="D1435" s="7" t="n">
        <f>HYPERLINK("https://www.somogyi.sk/product/reprokabel-transparentny-2x0-75mm-10m-blister-kl-0-75t-10x-2308","https://www.somogyi.sk/product/reprokabel-transparentny-2x0-75mm-10m-blister-kl-0-75t-10x-2308")</f>
        <v>0.0</v>
      </c>
      <c r="E1435" s="7" t="n">
        <f>HYPERLINK("https://www.somogyi.sk/productimages/product_main_images/small/02308.jpg","https://www.somogyi.sk/productimages/product_main_images/small/02308.jpg")</f>
        <v>0.0</v>
      </c>
      <c r="F1435" s="2" t="inlineStr">
        <is>
          <t>5998312725757</t>
        </is>
      </c>
      <c r="G1435" s="4" t="inlineStr">
        <is>
          <t xml:space="preserve"> • materiál základnej žily: čistá meď bez kyslíka 
 • priemer vlákna: Ø 0,10 mm 
 • štruktúra kábla: 2C x (96 x 0,10 mm) 
 • farba izolácie: transparentná 
 • šírka x výška: 4,6 x 2,3 mm 
 • meter / kotúč: 10 m 
 • blister: áno</t>
        </is>
      </c>
    </row>
    <row r="1436">
      <c r="A1436" s="3" t="inlineStr">
        <is>
          <t>KL 1,5T-10X</t>
        </is>
      </c>
      <c r="B1436" s="2" t="inlineStr">
        <is>
          <t>Reprokábel, transparentný, 2x1,5mm, 10m, blister</t>
        </is>
      </c>
      <c r="C1436" s="1" t="n">
        <v>5.29</v>
      </c>
      <c r="D1436" s="7" t="n">
        <f>HYPERLINK("https://www.somogyi.sk/product/reprokabel-transparentny-2x1-5mm-10m-blister-kl-1-5t-10x-2309","https://www.somogyi.sk/product/reprokabel-transparentny-2x1-5mm-10m-blister-kl-1-5t-10x-2309")</f>
        <v>0.0</v>
      </c>
      <c r="E1436" s="7" t="n">
        <f>HYPERLINK("https://www.somogyi.sk/productimages/product_main_images/small/02309.jpg","https://www.somogyi.sk/productimages/product_main_images/small/02309.jpg")</f>
        <v>0.0</v>
      </c>
      <c r="F1436" s="2" t="inlineStr">
        <is>
          <t>5998312725764</t>
        </is>
      </c>
      <c r="G1436" s="4" t="inlineStr">
        <is>
          <t xml:space="preserve"> • materiál základnej žily: čistá meď bez kyslíka 
 • priemer vlákna: Ø 0,10 mm 
 • štruktúra kábla: 2C x (7 x 27 x 0,10 mm) 
 • farba izolácie: transparentná 
 • šírka x výška: 6 x 3 mm 
 • meter / kotúč: 10 m 
 • blister: áno</t>
        </is>
      </c>
    </row>
    <row r="1437">
      <c r="A1437" s="3" t="inlineStr">
        <is>
          <t>KL 0,15</t>
        </is>
      </c>
      <c r="B1437" s="2" t="inlineStr">
        <is>
          <t>Reprokábel, červeno-čierny, 2x0,15mm, 100m/kotúč</t>
        </is>
      </c>
      <c r="C1437" s="1" t="n">
        <v>0.25</v>
      </c>
      <c r="D1437" s="7" t="n">
        <f>HYPERLINK("https://www.somogyi.sk/product/reprokabel-cerveno-cierny-2x0-15mm-100m-kotuc-kl-0-15-2520","https://www.somogyi.sk/product/reprokabel-cerveno-cierny-2x0-15mm-100m-kotuc-kl-0-15-2520")</f>
        <v>0.0</v>
      </c>
      <c r="E1437" s="7" t="n">
        <f>HYPERLINK("https://www.somogyi.sk/productimages/product_main_images/small/02520.jpg","https://www.somogyi.sk/productimages/product_main_images/small/02520.jpg")</f>
        <v>0.0</v>
      </c>
      <c r="F1437" s="2" t="inlineStr">
        <is>
          <t>5998312728321</t>
        </is>
      </c>
      <c r="G1437" s="4" t="inlineStr">
        <is>
          <t xml:space="preserve"> • materiál základnej žily: čistá meď bez kyslíka 
 • priemer vlákna: Ø 0,10 mm 
 • štruktúra kábla: 2C x (19 x 0,1 mm) 
 • farba izolácie: červeno - čierna 
 • šírka x výška: 4 x 2 mm 
 • meter / kotúč: 100 m / kotúč</t>
        </is>
      </c>
    </row>
    <row r="1438">
      <c r="A1438" s="3" t="inlineStr">
        <is>
          <t>KL 1T</t>
        </is>
      </c>
      <c r="B1438" s="2" t="inlineStr">
        <is>
          <t>Reprokábel, transparentný, 2x1mm, 100m/kotúč</t>
        </is>
      </c>
      <c r="C1438" s="1" t="n">
        <v>1.15</v>
      </c>
      <c r="D1438" s="7" t="n">
        <f>HYPERLINK("https://www.somogyi.sk/product/reprokabel-transparentny-2x1mm-100m-kotuc-kl-1t-2522","https://www.somogyi.sk/product/reprokabel-transparentny-2x1mm-100m-kotuc-kl-1t-2522")</f>
        <v>0.0</v>
      </c>
      <c r="E1438" s="7" t="n">
        <f>HYPERLINK("https://www.somogyi.sk/productimages/product_main_images/small/02522.jpg","https://www.somogyi.sk/productimages/product_main_images/small/02522.jpg")</f>
        <v>0.0</v>
      </c>
      <c r="F1438" s="2" t="inlineStr">
        <is>
          <t>5998312728345</t>
        </is>
      </c>
      <c r="G1438" s="4" t="inlineStr">
        <is>
          <t xml:space="preserve"> • materiál základnej žily: čistá meď bez kyslíka 
 • priemer vlákna: Ø 0,10 mm 
 • štruktúra kábla: 2C x (127 x 0,10 mm) 
 • farba izolácie: transparentná 
 • šírka x výška: 6 x 3 mm 
 • meter / kotúč: 100 m / kotúč</t>
        </is>
      </c>
    </row>
    <row r="1439">
      <c r="A1439" s="6" t="inlineStr">
        <is>
          <t xml:space="preserve">   Zvuková technika / Výhybka</t>
        </is>
      </c>
      <c r="B1439" s="6" t="inlineStr">
        <is>
          <t/>
        </is>
      </c>
      <c r="C1439" s="6" t="inlineStr">
        <is>
          <t/>
        </is>
      </c>
      <c r="D1439" s="6" t="inlineStr">
        <is>
          <t/>
        </is>
      </c>
      <c r="E1439" s="6" t="inlineStr">
        <is>
          <t/>
        </is>
      </c>
      <c r="F1439" s="6" t="inlineStr">
        <is>
          <t/>
        </is>
      </c>
      <c r="G1439" s="6" t="inlineStr">
        <is>
          <t/>
        </is>
      </c>
    </row>
    <row r="1440">
      <c r="A1440" s="3" t="inlineStr">
        <is>
          <t>HVP 28</t>
        </is>
      </c>
      <c r="B1440" s="2" t="inlineStr">
        <is>
          <t>Výhybka</t>
        </is>
      </c>
      <c r="C1440" s="1" t="n">
        <v>36.99</v>
      </c>
      <c r="D1440" s="7" t="n">
        <f>HYPERLINK("https://www.somogyi.sk/product/vyhybka-hvp-28-8714","https://www.somogyi.sk/product/vyhybka-hvp-28-8714")</f>
        <v>0.0</v>
      </c>
      <c r="E1440" s="7" t="n">
        <f>HYPERLINK("https://www.somogyi.sk/productimages/product_main_images/small/08714.jpg","https://www.somogyi.sk/productimages/product_main_images/small/08714.jpg")</f>
        <v>0.0</v>
      </c>
      <c r="F1440" s="2" t="inlineStr">
        <is>
          <t>5998312775981</t>
        </is>
      </c>
      <c r="G1440" s="4" t="inlineStr">
        <is>
          <t xml:space="preserve"> • zaťažiteľnosť: max. 600 W 
 • impedancia reproduktora: 8 Ohm 
 • deliaci kmitočet: 2800 Hz 
 • strmosť: basový: 12 dB / oktáv, výškový: 18 dB / oktáv 
 • rozmery: 150 x 28 x 95 mm</t>
        </is>
      </c>
    </row>
    <row r="1441">
      <c r="A1441" s="3" t="inlineStr">
        <is>
          <t>HV 228</t>
        </is>
      </c>
      <c r="B1441" s="2" t="inlineStr">
        <is>
          <t>Výhybka</t>
        </is>
      </c>
      <c r="C1441" s="1" t="n">
        <v>23.99</v>
      </c>
      <c r="D1441" s="7" t="n">
        <f>HYPERLINK("https://www.somogyi.sk/product/vyhybka-hv-228-4300","https://www.somogyi.sk/product/vyhybka-hv-228-4300")</f>
        <v>0.0</v>
      </c>
      <c r="E1441" s="7" t="n">
        <f>HYPERLINK("https://www.somogyi.sk/productimages/product_main_images/small/04300.jpg","https://www.somogyi.sk/productimages/product_main_images/small/04300.jpg")</f>
        <v>0.0</v>
      </c>
      <c r="F1441" s="2" t="inlineStr">
        <is>
          <t>5998312737637</t>
        </is>
      </c>
      <c r="G1441" s="4" t="inlineStr">
        <is>
          <t xml:space="preserve"> • zaťažiteľnosť: max. 200 W 
 • impedancia reproduktora: 8 Ohm 
 • deliaci kmitočet: 3000 Hz 
 • strmosť: 12 dB / oktáv 
 • prepínateľný výstup: vysoký: 0 / -3 dB 
 • rozmery: 120 x 28 x 95 mm</t>
        </is>
      </c>
    </row>
    <row r="1442">
      <c r="A1442" s="3" t="inlineStr">
        <is>
          <t>HV 328</t>
        </is>
      </c>
      <c r="B1442" s="2" t="inlineStr">
        <is>
          <t>Výhybka</t>
        </is>
      </c>
      <c r="C1442" s="1" t="n">
        <v>48.99</v>
      </c>
      <c r="D1442" s="7" t="n">
        <f>HYPERLINK("https://www.somogyi.sk/product/vyhybka-hv-328-4301","https://www.somogyi.sk/product/vyhybka-hv-328-4301")</f>
        <v>0.0</v>
      </c>
      <c r="E1442" s="7" t="n">
        <f>HYPERLINK("https://www.somogyi.sk/productimages/product_main_images/small/04301.jpg","https://www.somogyi.sk/productimages/product_main_images/small/04301.jpg")</f>
        <v>0.0</v>
      </c>
      <c r="F1442" s="2" t="inlineStr">
        <is>
          <t>5998312737644</t>
        </is>
      </c>
      <c r="G1442" s="4" t="inlineStr">
        <is>
          <t xml:space="preserve"> • zaťažiteľnosť: 200 W 
 • impedancia reproduktora: 8 Ohm 
 • deliaci kmitočet: 500 Hz / 3000 Hz 
 • strmosť: 12 dB / oktáv 
 • prepínateľný výstup: vysoký: 0 / -3dB, stred: 0 / -2 dB 
 • rozmery: 160 x 30 x 137 mm</t>
        </is>
      </c>
    </row>
    <row r="1443">
      <c r="A1443" s="6" t="inlineStr">
        <is>
          <t xml:space="preserve">   Zvuková technika / Konektor k zvukovej technike</t>
        </is>
      </c>
      <c r="B1443" s="6" t="inlineStr">
        <is>
          <t/>
        </is>
      </c>
      <c r="C1443" s="6" t="inlineStr">
        <is>
          <t/>
        </is>
      </c>
      <c r="D1443" s="6" t="inlineStr">
        <is>
          <t/>
        </is>
      </c>
      <c r="E1443" s="6" t="inlineStr">
        <is>
          <t/>
        </is>
      </c>
      <c r="F1443" s="6" t="inlineStr">
        <is>
          <t/>
        </is>
      </c>
      <c r="G1443" s="6" t="inlineStr">
        <is>
          <t/>
        </is>
      </c>
    </row>
    <row r="1444">
      <c r="A1444" s="3" t="inlineStr">
        <is>
          <t>S 24</t>
        </is>
      </c>
      <c r="B1444" s="2" t="inlineStr">
        <is>
          <t>Mikrofónová zásuvka, voľná, 3-pólová</t>
        </is>
      </c>
      <c r="C1444" s="1" t="n">
        <v>1.59</v>
      </c>
      <c r="D1444" s="7" t="n">
        <f>HYPERLINK("https://www.somogyi.sk/product/mikrofonova-zasuvka-volna-3-polova-s-24-1822","https://www.somogyi.sk/product/mikrofonova-zasuvka-volna-3-polova-s-24-1822")</f>
        <v>0.0</v>
      </c>
      <c r="E1444" s="7" t="n">
        <f>HYPERLINK("https://www.somogyi.sk/productimages/product_main_images/small/01822.jpg","https://www.somogyi.sk/productimages/product_main_images/small/01822.jpg")</f>
        <v>0.0</v>
      </c>
      <c r="F1444" s="2" t="inlineStr">
        <is>
          <t>5998312703458</t>
        </is>
      </c>
      <c r="G1444" s="4" t="inlineStr">
        <is>
          <t xml:space="preserve"> • počet pólov: 3 pólová 
 • pozlátená prípojka: nie 
 • pripojenie: nie 
 • zapojenie: spájkovateľná</t>
        </is>
      </c>
    </row>
    <row r="1445">
      <c r="A1445" s="3" t="inlineStr">
        <is>
          <t>SPK 850</t>
        </is>
      </c>
      <c r="B1445" s="2" t="inlineStr">
        <is>
          <t>Speakon zásuvka, 4 pólová, zabudovateľná</t>
        </is>
      </c>
      <c r="C1445" s="1" t="n">
        <v>1.49</v>
      </c>
      <c r="D1445" s="7" t="n">
        <f>HYPERLINK("https://www.somogyi.sk/product/speakon-zasuvka-4-polova-zabudovatelna-spk-850-4197","https://www.somogyi.sk/product/speakon-zasuvka-4-polova-zabudovatelna-spk-850-4197")</f>
        <v>0.0</v>
      </c>
      <c r="E1445" s="7" t="n">
        <f>HYPERLINK("https://www.somogyi.sk/productimages/product_main_images/small/04197.jpg","https://www.somogyi.sk/productimages/product_main_images/small/04197.jpg")</f>
        <v>0.0</v>
      </c>
      <c r="F1445" s="2" t="inlineStr">
        <is>
          <t>5998312737125</t>
        </is>
      </c>
      <c r="G1445" s="4" t="inlineStr">
        <is>
          <t xml:space="preserve"> • počet pólov: 4 pólová 
 • pozlátená prípojka: nie 
 • pripojenie: nie 
 • zapojenie: špalíkové 
 • rozmery: 30 x 25 mm</t>
        </is>
      </c>
    </row>
    <row r="1446">
      <c r="A1446" s="3" t="inlineStr">
        <is>
          <t>SL 5</t>
        </is>
      </c>
      <c r="B1446" s="2" t="inlineStr">
        <is>
          <t>Reproduktorová vidlica, skrutkovateľná</t>
        </is>
      </c>
      <c r="C1446" s="1" t="n">
        <v>0.59</v>
      </c>
      <c r="D1446" s="7" t="n">
        <f>HYPERLINK("https://www.somogyi.sk/product/reproduktorova-vidlica-skrutkovatelna-sl-5-4270","https://www.somogyi.sk/product/reproduktorova-vidlica-skrutkovatelna-sl-5-4270")</f>
        <v>0.0</v>
      </c>
      <c r="E1446" s="7" t="n">
        <f>HYPERLINK("https://www.somogyi.sk/productimages/product_main_images/small/04270.jpg","https://www.somogyi.sk/productimages/product_main_images/small/04270.jpg")</f>
        <v>0.0</v>
      </c>
      <c r="F1446" s="2" t="inlineStr">
        <is>
          <t>5998312708958</t>
        </is>
      </c>
      <c r="G1446" s="4" t="inlineStr">
        <is>
          <t xml:space="preserve"> • počet pólov: 2 pólová 
 • pozlátená prípojka: nie 
 • pripojenie: nie 
 • zapojenie: skrutkovateľné</t>
        </is>
      </c>
    </row>
    <row r="1447">
      <c r="A1447" s="3" t="inlineStr">
        <is>
          <t>SPK 900</t>
        </is>
      </c>
      <c r="B1447" s="2" t="inlineStr">
        <is>
          <t>Speakon vidlica, 4 pólová</t>
        </is>
      </c>
      <c r="C1447" s="1" t="n">
        <v>4.29</v>
      </c>
      <c r="D1447" s="7" t="n">
        <f>HYPERLINK("https://www.somogyi.sk/product/speakon-vidlica-4-polova-spk-900-4202","https://www.somogyi.sk/product/speakon-vidlica-4-polova-spk-900-4202")</f>
        <v>0.0</v>
      </c>
      <c r="E1447" s="7" t="n">
        <f>HYPERLINK("https://www.somogyi.sk/productimages/product_main_images/small/04202.jpg","https://www.somogyi.sk/productimages/product_main_images/small/04202.jpg")</f>
        <v>0.0</v>
      </c>
      <c r="F1447" s="2" t="inlineStr">
        <is>
          <t>5998312737170</t>
        </is>
      </c>
      <c r="G1447" s="4" t="inlineStr">
        <is>
          <t xml:space="preserve"> • počet pólov: 4 pólová 
 • pozlátená prípojka: nie 
 • pripojenie: nie 
 • zapojenie: skrutkovateľné</t>
        </is>
      </c>
    </row>
    <row r="1448">
      <c r="A1448" s="3" t="inlineStr">
        <is>
          <t>SL 2ER</t>
        </is>
      </c>
      <c r="B1448" s="2" t="inlineStr">
        <is>
          <t>Reproduktorová zásuvka, 2 pólová, pružinová</t>
        </is>
      </c>
      <c r="C1448" s="1" t="n">
        <v>0.39</v>
      </c>
      <c r="D1448" s="7" t="n">
        <f>HYPERLINK("https://www.somogyi.sk/product/reproduktorova-zasuvka-2-polova-pruzinova-sl-2er-1875","https://www.somogyi.sk/product/reproduktorova-zasuvka-2-polova-pruzinova-sl-2er-1875")</f>
        <v>0.0</v>
      </c>
      <c r="E1448" s="7" t="n">
        <f>HYPERLINK("https://www.somogyi.sk/productimages/product_main_images/small/01875.jpg","https://www.somogyi.sk/productimages/product_main_images/small/01875.jpg")</f>
        <v>0.0</v>
      </c>
      <c r="F1448" s="2" t="inlineStr">
        <is>
          <t>5998312704240</t>
        </is>
      </c>
      <c r="G1448" s="4" t="inlineStr">
        <is>
          <t xml:space="preserve"> • počet pólov: 2 pólová 
 • pozlátená prípojka: nie 
 • pripojenie: pružinové 
 • zapojenie: spájkovateľná 
 • rozmery: 52 x 22 mm</t>
        </is>
      </c>
    </row>
    <row r="1449">
      <c r="A1449" s="3" t="inlineStr">
        <is>
          <t>SL 6MG</t>
        </is>
      </c>
      <c r="B1449" s="2" t="inlineStr">
        <is>
          <t>Reproduktorová zásuvka, 2 pólová, pozlátená</t>
        </is>
      </c>
      <c r="C1449" s="1" t="n">
        <v>3.29</v>
      </c>
      <c r="D1449" s="7" t="n">
        <f>HYPERLINK("https://www.somogyi.sk/product/reproduktorova-zasuvka-2-polova-pozlatena-sl-6mg-2596","https://www.somogyi.sk/product/reproduktorova-zasuvka-2-polova-pozlatena-sl-6mg-2596")</f>
        <v>0.0</v>
      </c>
      <c r="E1449" s="7" t="n">
        <f>HYPERLINK("https://www.somogyi.sk/productimages/product_main_images/small/02596.jpg","https://www.somogyi.sk/productimages/product_main_images/small/02596.jpg")</f>
        <v>0.0</v>
      </c>
      <c r="F1449" s="2" t="inlineStr">
        <is>
          <t>5998312729113</t>
        </is>
      </c>
      <c r="G1449" s="4" t="inlineStr">
        <is>
          <t xml:space="preserve"> • počet pólov: 2 pólová 
 • pozlátená prípojka: áno 
 • pripojenie: banánikové + skrutkovateľné 
 • zapojenie: spájkovateľná 
 • rozmery: Ø105 mm</t>
        </is>
      </c>
    </row>
    <row r="1450">
      <c r="A1450" s="3" t="inlineStr">
        <is>
          <t>S 1090X</t>
        </is>
      </c>
      <c r="B1450" s="2" t="inlineStr">
        <is>
          <t>4 pólová Speakonová vidlica, blister</t>
        </is>
      </c>
      <c r="C1450" s="1" t="n">
        <v>4.79</v>
      </c>
      <c r="D1450" s="7" t="n">
        <f>HYPERLINK("https://www.somogyi.sk/product/4-polova-speakonova-vidlica-blister-s-1090x-5283","https://www.somogyi.sk/product/4-polova-speakonova-vidlica-blister-s-1090x-5283")</f>
        <v>0.0</v>
      </c>
      <c r="E1450" s="7" t="n">
        <f>HYPERLINK("https://www.somogyi.sk/productimages/product_main_images/small/05283.jpg","https://www.somogyi.sk/productimages/product_main_images/small/05283.jpg")</f>
        <v>0.0</v>
      </c>
      <c r="F1450" s="2" t="inlineStr">
        <is>
          <t>5998312746707</t>
        </is>
      </c>
      <c r="G1450" s="4" t="inlineStr">
        <is>
          <t xml:space="preserve"> • počet pólov: 4 pólová 
 • pozlátená prípojka: nie 
 • pripojenie: nie 
 • zapojenie: skrutkovateľné 
 • blister: áno</t>
        </is>
      </c>
    </row>
    <row r="1451">
      <c r="A1451" s="3" t="inlineStr">
        <is>
          <t>SL 5ER</t>
        </is>
      </c>
      <c r="B1451" s="2" t="inlineStr">
        <is>
          <t>Reproduktorová zásuvka, 2 pólová, pružinová</t>
        </is>
      </c>
      <c r="C1451" s="1" t="n">
        <v>0.85</v>
      </c>
      <c r="D1451" s="7" t="n">
        <f>HYPERLINK("https://www.somogyi.sk/product/reproduktorova-zasuvka-2-polova-pruzinova-sl-5er-2008","https://www.somogyi.sk/product/reproduktorova-zasuvka-2-polova-pruzinova-sl-5er-2008")</f>
        <v>0.0</v>
      </c>
      <c r="E1451" s="7" t="n">
        <f>HYPERLINK("https://www.somogyi.sk/productimages/product_main_images/small/02008.jpg","https://www.somogyi.sk/productimages/product_main_images/small/02008.jpg")</f>
        <v>0.0</v>
      </c>
      <c r="F1451" s="2" t="inlineStr">
        <is>
          <t>5998312717615</t>
        </is>
      </c>
      <c r="G1451" s="4" t="inlineStr">
        <is>
          <t xml:space="preserve"> • počet pólov: 2 pólová 
 • pozlátená prípojka: nie 
 • pripojenie: pružinové 
 • zapojenie: spájkovateľná 
 • rozmery: Ø75 mm</t>
        </is>
      </c>
    </row>
    <row r="1452">
      <c r="A1452" s="3" t="inlineStr">
        <is>
          <t>S 23</t>
        </is>
      </c>
      <c r="B1452" s="2" t="inlineStr">
        <is>
          <t>Mikrofónová vidlica, 3-pólová</t>
        </is>
      </c>
      <c r="C1452" s="1" t="n">
        <v>1.49</v>
      </c>
      <c r="D1452" s="7" t="n">
        <f>HYPERLINK("https://www.somogyi.sk/product/mikrofonova-vidlica-3-polova-s-23-1821","https://www.somogyi.sk/product/mikrofonova-vidlica-3-polova-s-23-1821")</f>
        <v>0.0</v>
      </c>
      <c r="E1452" s="7" t="n">
        <f>HYPERLINK("https://www.somogyi.sk/productimages/product_main_images/small/01821.jpg","https://www.somogyi.sk/productimages/product_main_images/small/01821.jpg")</f>
        <v>0.0</v>
      </c>
      <c r="F1452" s="2" t="inlineStr">
        <is>
          <t>5998312703441</t>
        </is>
      </c>
      <c r="G1452" s="4" t="inlineStr">
        <is>
          <t xml:space="preserve"> • počet pólov: 3 pólová 
 • pozlátená prípojka: nie 
 • pripojenie: nie 
 • zapojenie: spájkovateľná</t>
        </is>
      </c>
    </row>
    <row r="1453">
      <c r="A1453" s="6" t="inlineStr">
        <is>
          <t xml:space="preserve">   Zvuková technika / Príslušenstvo k zvukovej technike</t>
        </is>
      </c>
      <c r="B1453" s="6" t="inlineStr">
        <is>
          <t/>
        </is>
      </c>
      <c r="C1453" s="6" t="inlineStr">
        <is>
          <t/>
        </is>
      </c>
      <c r="D1453" s="6" t="inlineStr">
        <is>
          <t/>
        </is>
      </c>
      <c r="E1453" s="6" t="inlineStr">
        <is>
          <t/>
        </is>
      </c>
      <c r="F1453" s="6" t="inlineStr">
        <is>
          <t/>
        </is>
      </c>
      <c r="G1453" s="6" t="inlineStr">
        <is>
          <t/>
        </is>
      </c>
    </row>
    <row r="1454">
      <c r="A1454" s="3" t="inlineStr">
        <is>
          <t>HT 305</t>
        </is>
      </c>
      <c r="B1454" s="2" t="inlineStr">
        <is>
          <t>Držiak na repro mriežku, 8ks/balenie</t>
        </is>
      </c>
      <c r="C1454" s="1" t="n">
        <v>0.39</v>
      </c>
      <c r="D1454" s="7" t="n">
        <f>HYPERLINK("https://www.somogyi.sk/product/drziak-na-repro-mriezku-8ks-balenie-ht-305-3314","https://www.somogyi.sk/product/drziak-na-repro-mriezku-8ks-balenie-ht-305-3314")</f>
        <v>0.0</v>
      </c>
      <c r="E1454" s="7" t="n">
        <f>HYPERLINK("https://www.somogyi.sk/productimages/product_main_images/small/03314.jpg","https://www.somogyi.sk/productimages/product_main_images/small/03314.jpg")</f>
        <v>0.0</v>
      </c>
      <c r="F1454" s="2" t="inlineStr">
        <is>
          <t>5998312736388</t>
        </is>
      </c>
      <c r="G1454" s="4" t="inlineStr">
        <is>
          <t xml:space="preserve"> • materiál: plast 
 • farba: čierna</t>
        </is>
      </c>
    </row>
    <row r="1455">
      <c r="A1455" s="3" t="inlineStr">
        <is>
          <t>HT 2340</t>
        </is>
      </c>
      <c r="B1455" s="2" t="inlineStr">
        <is>
          <t>Tlmiaci molitan, 60x30x3cm</t>
        </is>
      </c>
      <c r="C1455" s="1" t="n">
        <v>4.29</v>
      </c>
      <c r="D1455" s="7" t="n">
        <f>HYPERLINK("https://www.somogyi.sk/product/tlmiaci-molitan-60x30x3cm-ht-2340-4146","https://www.somogyi.sk/product/tlmiaci-molitan-60x30x3cm-ht-2340-4146")</f>
        <v>0.0</v>
      </c>
      <c r="E1455" s="7" t="n">
        <f>HYPERLINK("https://www.somogyi.sk/productimages/product_main_images/small/04146.jpg","https://www.somogyi.sk/productimages/product_main_images/small/04146.jpg")</f>
        <v>0.0</v>
      </c>
      <c r="F1455" s="2" t="inlineStr">
        <is>
          <t>5998312736630</t>
        </is>
      </c>
      <c r="G1455" s="4" t="inlineStr">
        <is>
          <t xml:space="preserve"> • materiál: pena 
 • farba: tmavosivá 
 • rozmery: 3 x 30 x 60 cm</t>
        </is>
      </c>
    </row>
    <row r="1456">
      <c r="A1456" s="3" t="inlineStr">
        <is>
          <t>HT 400</t>
        </is>
      </c>
      <c r="B1456" s="2" t="inlineStr">
        <is>
          <t>Chránič reproduktorových rohov, plast, 40 x 40 x 40 mm</t>
        </is>
      </c>
      <c r="C1456" s="1" t="n">
        <v>0.75</v>
      </c>
      <c r="D1456" s="7" t="n">
        <f>HYPERLINK("https://www.somogyi.sk/product/chranic-reproduktorovych-rohov-plast-40-x-40-x-40-mm-ht-400-2671","https://www.somogyi.sk/product/chranic-reproduktorovych-rohov-plast-40-x-40-x-40-mm-ht-400-2671")</f>
        <v>0.0</v>
      </c>
      <c r="E1456" s="7" t="n">
        <f>HYPERLINK("https://www.somogyi.sk/productimages/product_main_images/small/02671.jpg","https://www.somogyi.sk/productimages/product_main_images/small/02671.jpg")</f>
        <v>0.0</v>
      </c>
      <c r="F1456" s="2" t="inlineStr">
        <is>
          <t>5998312729953</t>
        </is>
      </c>
      <c r="G1456" s="4" t="inlineStr">
        <is>
          <t xml:space="preserve"> • materiál: plast 
 • farba: čierna 
 • rozmery: 40 x 40 x 40 mm</t>
        </is>
      </c>
    </row>
    <row r="1457">
      <c r="A1457" s="3" t="inlineStr">
        <is>
          <t>HT 70/BK</t>
        </is>
      </c>
      <c r="B1457" s="2" t="inlineStr">
        <is>
          <t>Poťah na reprobedne, 70x140cm</t>
        </is>
      </c>
      <c r="C1457" s="1" t="n">
        <v>7.79</v>
      </c>
      <c r="D1457" s="7" t="n">
        <f>HYPERLINK("https://www.somogyi.sk/product/potah-na-reprobedne-70x140cm-ht-70-bk-4283","https://www.somogyi.sk/product/potah-na-reprobedne-70x140cm-ht-70-bk-4283")</f>
        <v>0.0</v>
      </c>
      <c r="E1457" s="7" t="n">
        <f>HYPERLINK("https://www.somogyi.sk/productimages/product_main_images/small/04283.jpg","https://www.somogyi.sk/productimages/product_main_images/small/04283.jpg")</f>
        <v>0.0</v>
      </c>
      <c r="F1457" s="2" t="inlineStr">
        <is>
          <t>5998312709085</t>
        </is>
      </c>
      <c r="G1457" s="4" t="inlineStr">
        <is>
          <t xml:space="preserve"> • materiál: tkanina 
 • farba: čierna 
 • rozmery: 70 x 140 cm</t>
        </is>
      </c>
    </row>
    <row r="1458">
      <c r="A1458" s="3" t="inlineStr">
        <is>
          <t>KAH 303</t>
        </is>
      </c>
      <c r="B1458" s="2" t="inlineStr">
        <is>
          <t>Basreflexová trubka, nastaviteľná, 66x125x250mm, 2ks/balenie</t>
        </is>
      </c>
      <c r="C1458" s="1" t="n">
        <v>3.69</v>
      </c>
      <c r="D1458" s="7" t="n">
        <f>HYPERLINK("https://www.somogyi.sk/product/basreflexova-trubka-nastavitelna-66x125x250mm-2ks-balenie-kah-303-2841","https://www.somogyi.sk/product/basreflexova-trubka-nastavitelna-66x125x250mm-2ks-balenie-kah-303-2841")</f>
        <v>0.0</v>
      </c>
      <c r="E1458" s="7" t="n">
        <f>HYPERLINK("https://www.somogyi.sk/productimages/product_main_images/small/02841.jpg","https://www.somogyi.sk/productimages/product_main_images/small/02841.jpg")</f>
        <v>0.0</v>
      </c>
      <c r="F1458" s="2" t="inlineStr">
        <is>
          <t>5998312731659</t>
        </is>
      </c>
      <c r="G1458" s="4" t="inlineStr">
        <is>
          <t xml:space="preserve"> • materiál: plast 
 • farba: čierna 
 • rozmery: Ø66 x 125 - 250 mm 
 • blister: áno</t>
        </is>
      </c>
    </row>
    <row r="1459">
      <c r="A1459" s="3" t="inlineStr">
        <is>
          <t>HT 402</t>
        </is>
      </c>
      <c r="B1459" s="2" t="inlineStr">
        <is>
          <t>Chránič reproduktorových rohov, plast, 54 x 54 x 81 mm</t>
        </is>
      </c>
      <c r="C1459" s="1" t="n">
        <v>0.79</v>
      </c>
      <c r="D1459" s="7" t="n">
        <f>HYPERLINK("https://www.somogyi.sk/product/chranic-reproduktorovych-rohov-plast-54-x-54-x-81-mm-ht-402-2673","https://www.somogyi.sk/product/chranic-reproduktorovych-rohov-plast-54-x-54-x-81-mm-ht-402-2673")</f>
        <v>0.0</v>
      </c>
      <c r="E1459" s="7" t="n">
        <f>HYPERLINK("https://www.somogyi.sk/productimages/product_main_images/small/02673.jpg","https://www.somogyi.sk/productimages/product_main_images/small/02673.jpg")</f>
        <v>0.0</v>
      </c>
      <c r="F1459" s="2" t="inlineStr">
        <is>
          <t>5998312729977</t>
        </is>
      </c>
      <c r="G1459" s="4" t="inlineStr">
        <is>
          <t xml:space="preserve"> • materiál: plast 
 • farba: čierna 
 • rozmery: 54 x 54 x 81 mm</t>
        </is>
      </c>
    </row>
    <row r="1460">
      <c r="A1460" s="3" t="inlineStr">
        <is>
          <t>KAH 202</t>
        </is>
      </c>
      <c r="B1460" s="2" t="inlineStr">
        <is>
          <t>Basreflexová trubka, upraviteľná, 45x100mm, 4ks/balenie</t>
        </is>
      </c>
      <c r="C1460" s="1" t="n">
        <v>1.25</v>
      </c>
      <c r="D1460" s="7" t="n">
        <f>HYPERLINK("https://www.somogyi.sk/product/basreflexova-trubka-upravitelna-45x100mm-4ks-balenie-kah-202-2842","https://www.somogyi.sk/product/basreflexova-trubka-upravitelna-45x100mm-4ks-balenie-kah-202-2842")</f>
        <v>0.0</v>
      </c>
      <c r="E1460" s="7" t="n">
        <f>HYPERLINK("https://www.somogyi.sk/productimages/product_main_images/small/02842.jpg","https://www.somogyi.sk/productimages/product_main_images/small/02842.jpg")</f>
        <v>0.0</v>
      </c>
      <c r="F1460" s="2" t="inlineStr">
        <is>
          <t>5998312731666</t>
        </is>
      </c>
      <c r="G1460" s="4" t="inlineStr">
        <is>
          <t xml:space="preserve"> • materiál: plast 
 • farba: čierna 
 • rozmery: Ø45 x 100 mm</t>
        </is>
      </c>
    </row>
    <row r="1461">
      <c r="A1461" s="3" t="inlineStr">
        <is>
          <t>HT 401</t>
        </is>
      </c>
      <c r="B1461" s="2" t="inlineStr">
        <is>
          <t>Chránič reproduktorových rohov, plast 37 x 37 x 55 mm</t>
        </is>
      </c>
      <c r="C1461" s="1" t="n">
        <v>0.55</v>
      </c>
      <c r="D1461" s="7" t="n">
        <f>HYPERLINK("https://www.somogyi.sk/product/chranic-reproduktorovych-rohov-plast-37-x-37-x-55-mm-ht-401-2672","https://www.somogyi.sk/product/chranic-reproduktorovych-rohov-plast-37-x-37-x-55-mm-ht-401-2672")</f>
        <v>0.0</v>
      </c>
      <c r="E1461" s="7" t="n">
        <f>HYPERLINK("https://www.somogyi.sk/productimages/product_main_images/small/02672.jpg","https://www.somogyi.sk/productimages/product_main_images/small/02672.jpg")</f>
        <v>0.0</v>
      </c>
      <c r="F1461" s="2" t="inlineStr">
        <is>
          <t>5998312729960</t>
        </is>
      </c>
      <c r="G1461" s="4" t="inlineStr">
        <is>
          <t xml:space="preserve"> • materiál: plast 
 • farba: čierna 
 • rozmery: 37 x 37 x 55 mm</t>
        </is>
      </c>
    </row>
    <row r="1462">
      <c r="A1462" s="3" t="inlineStr">
        <is>
          <t>HT 200</t>
        </is>
      </c>
      <c r="B1462" s="2" t="inlineStr">
        <is>
          <t>Držiak reprobední, kov+guma, 250 mm</t>
        </is>
      </c>
      <c r="C1462" s="1" t="n">
        <v>2.29</v>
      </c>
      <c r="D1462" s="7" t="n">
        <f>HYPERLINK("https://www.somogyi.sk/product/drziak-reprobedni-kov-guma-250-mm-ht-200-2667","https://www.somogyi.sk/product/drziak-reprobedni-kov-guma-250-mm-ht-200-2667")</f>
        <v>0.0</v>
      </c>
      <c r="E1462" s="7" t="n">
        <f>HYPERLINK("https://www.somogyi.sk/productimages/product_main_images/small/02667.jpg","https://www.somogyi.sk/productimages/product_main_images/small/02667.jpg")</f>
        <v>0.0</v>
      </c>
      <c r="F1462" s="2" t="inlineStr">
        <is>
          <t>5998312729915</t>
        </is>
      </c>
      <c r="G1462" s="4" t="inlineStr">
        <is>
          <t xml:space="preserve"> • materiál: kov + guma 
 • farba: čierna 
 • rozmery: 250 mm</t>
        </is>
      </c>
    </row>
    <row r="1463">
      <c r="A1463" s="3" t="inlineStr">
        <is>
          <t>HT 3123</t>
        </is>
      </c>
      <c r="B1463" s="2" t="inlineStr">
        <is>
          <t>Gumené nohy k reprobedniam, 37x16mm, 4ks/balenie</t>
        </is>
      </c>
      <c r="C1463" s="1" t="n">
        <v>0.95</v>
      </c>
      <c r="D1463" s="7" t="n">
        <f>HYPERLINK("https://www.somogyi.sk/product/gumene-nohy-k-reprobedniam-37x16mm-4ks-balenie-ht-3123-3313","https://www.somogyi.sk/product/gumene-nohy-k-reprobedniam-37x16mm-4ks-balenie-ht-3123-3313")</f>
        <v>0.0</v>
      </c>
      <c r="E1463" s="7" t="n">
        <f>HYPERLINK("https://www.somogyi.sk/productimages/product_main_images/small/03313.jpg","https://www.somogyi.sk/productimages/product_main_images/small/03313.jpg")</f>
        <v>0.0</v>
      </c>
      <c r="F1463" s="2" t="inlineStr">
        <is>
          <t>5998312736371</t>
        </is>
      </c>
      <c r="G1463" s="4" t="inlineStr">
        <is>
          <t xml:space="preserve"> • materiál: tvrdá guma 
 • farba: čierna 
 • rozmery: Ø37 x 16 mm, otvor: Ø5 mm</t>
        </is>
      </c>
    </row>
    <row r="1464">
      <c r="A1464" s="3" t="inlineStr">
        <is>
          <t>HT 304</t>
        </is>
      </c>
      <c r="B1464" s="2" t="inlineStr">
        <is>
          <t>Držiak na repro mriežku, 8ks/balenie</t>
        </is>
      </c>
      <c r="C1464" s="1" t="n">
        <v>0.24</v>
      </c>
      <c r="D1464" s="7" t="n">
        <f>HYPERLINK("https://www.somogyi.sk/product/drziak-na-repro-mriezku-8ks-balenie-ht-304-2666","https://www.somogyi.sk/product/drziak-na-repro-mriezku-8ks-balenie-ht-304-2666")</f>
        <v>0.0</v>
      </c>
      <c r="E1464" s="7" t="n">
        <f>HYPERLINK("https://www.somogyi.sk/productimages/product_main_images/small/02666.jpg","https://www.somogyi.sk/productimages/product_main_images/small/02666.jpg")</f>
        <v>0.0</v>
      </c>
      <c r="F1464" s="2" t="inlineStr">
        <is>
          <t>5998312729908</t>
        </is>
      </c>
      <c r="G1464" s="4" t="inlineStr">
        <is>
          <t xml:space="preserve"> • materiál: plast 
 • farba: čierna</t>
        </is>
      </c>
    </row>
    <row r="1465">
      <c r="A1465" s="3" t="inlineStr">
        <is>
          <t>SG 30</t>
        </is>
      </c>
      <c r="B1465" s="2" t="inlineStr">
        <is>
          <t>Gumový krúžok, 300mm</t>
        </is>
      </c>
      <c r="C1465" s="1" t="n">
        <v>3.99</v>
      </c>
      <c r="D1465" s="7" t="n">
        <f>HYPERLINK("https://www.somogyi.sk/product/gumovy-kruzok-300mm-sg-30-2605","https://www.somogyi.sk/product/gumovy-kruzok-300mm-sg-30-2605")</f>
        <v>0.0</v>
      </c>
      <c r="E1465" s="7" t="n">
        <f>HYPERLINK("https://www.somogyi.sk/productimages/product_main_images/small/02605.jpg","https://www.somogyi.sk/productimages/product_main_images/small/02605.jpg")</f>
        <v>0.0</v>
      </c>
      <c r="F1465" s="2" t="inlineStr">
        <is>
          <t>5998312729205</t>
        </is>
      </c>
      <c r="G1465" s="4" t="inlineStr">
        <is>
          <t xml:space="preserve"> • materiál: pena 
 • farba: čierna 
 • rozmery: Ø300 mm 
 • kompatibilita: 300 mm reproduktory</t>
        </is>
      </c>
    </row>
    <row r="1466">
      <c r="A1466" s="3" t="inlineStr">
        <is>
          <t>SG 25</t>
        </is>
      </c>
      <c r="B1466" s="2" t="inlineStr">
        <is>
          <t>Gumový krúžok, 250mm</t>
        </is>
      </c>
      <c r="C1466" s="1" t="n">
        <v>3.39</v>
      </c>
      <c r="D1466" s="7" t="n">
        <f>HYPERLINK("https://www.somogyi.sk/product/gumovy-kruzok-250mm-sg-25-2604","https://www.somogyi.sk/product/gumovy-kruzok-250mm-sg-25-2604")</f>
        <v>0.0</v>
      </c>
      <c r="E1466" s="7" t="n">
        <f>HYPERLINK("https://www.somogyi.sk/productimages/product_main_images/small/02604.jpg","https://www.somogyi.sk/productimages/product_main_images/small/02604.jpg")</f>
        <v>0.0</v>
      </c>
      <c r="F1466" s="2" t="inlineStr">
        <is>
          <t>5998312729199</t>
        </is>
      </c>
      <c r="G1466" s="4" t="inlineStr">
        <is>
          <t xml:space="preserve"> • materiál: pena 
 • farba: čierna 
 • rozmery: Ø250 mm 
 • kompatibilita: 250 mm reproduktory</t>
        </is>
      </c>
    </row>
    <row r="1467">
      <c r="A1467" s="3" t="inlineStr">
        <is>
          <t>SG 16</t>
        </is>
      </c>
      <c r="B1467" s="2" t="inlineStr">
        <is>
          <t>Gumový krúžok, 165mm</t>
        </is>
      </c>
      <c r="C1467" s="1" t="n">
        <v>2.19</v>
      </c>
      <c r="D1467" s="7" t="n">
        <f>HYPERLINK("https://www.somogyi.sk/product/gumovy-kruzok-165mm-sg-16-2996","https://www.somogyi.sk/product/gumovy-kruzok-165mm-sg-16-2996")</f>
        <v>0.0</v>
      </c>
      <c r="E1467" s="7" t="n">
        <f>HYPERLINK("https://www.somogyi.sk/productimages/product_main_images/small/02996.jpg","https://www.somogyi.sk/productimages/product_main_images/small/02996.jpg")</f>
        <v>0.0</v>
      </c>
      <c r="F1467" s="2" t="inlineStr">
        <is>
          <t>5998312733202</t>
        </is>
      </c>
      <c r="G1467" s="4" t="inlineStr">
        <is>
          <t xml:space="preserve"> • materiál: pena 
 • farba: čierna 
 • rozmery: Ø165 mm 
 • kompatibilita: 165 mm reproduktory</t>
        </is>
      </c>
    </row>
    <row r="1468">
      <c r="A1468" s="3" t="inlineStr">
        <is>
          <t>HT 203</t>
        </is>
      </c>
      <c r="B1468" s="2" t="inlineStr">
        <is>
          <t>Zapustená rukoväť k reprobedne, kovová, 220 x 163 x 60 mm</t>
        </is>
      </c>
      <c r="C1468" s="1" t="n">
        <v>10.49</v>
      </c>
      <c r="D1468" s="7" t="n">
        <f>HYPERLINK("https://www.somogyi.sk/product/zapustena-rukovat-k-reprobedne-kovova-220-x-163-x-60-mm-ht-203-6921","https://www.somogyi.sk/product/zapustena-rukovat-k-reprobedne-kovova-220-x-163-x-60-mm-ht-203-6921")</f>
        <v>0.0</v>
      </c>
      <c r="E1468" s="7" t="n">
        <f>HYPERLINK("https://www.somogyi.sk/productimages/product_main_images/small/06921.jpg","https://www.somogyi.sk/productimages/product_main_images/small/06921.jpg")</f>
        <v>0.0</v>
      </c>
      <c r="F1468" s="2" t="inlineStr">
        <is>
          <t>5998312759349</t>
        </is>
      </c>
      <c r="G1468" s="4" t="inlineStr">
        <is>
          <t xml:space="preserve"> • materiál: kov 
 • farba: čierna 
 • rozmery: 220 x 163 x 60 mm</t>
        </is>
      </c>
    </row>
    <row r="1469">
      <c r="A1469" s="3" t="inlineStr">
        <is>
          <t>SG 20</t>
        </is>
      </c>
      <c r="B1469" s="2" t="inlineStr">
        <is>
          <t>Gumový krúžok, 200mm</t>
        </is>
      </c>
      <c r="C1469" s="1" t="n">
        <v>2.79</v>
      </c>
      <c r="D1469" s="7" t="n">
        <f>HYPERLINK("https://www.somogyi.sk/product/gumovy-kruzok-200mm-sg-20-2603","https://www.somogyi.sk/product/gumovy-kruzok-200mm-sg-20-2603")</f>
        <v>0.0</v>
      </c>
      <c r="E1469" s="7" t="n">
        <f>HYPERLINK("https://www.somogyi.sk/productimages/product_main_images/small/02603.jpg","https://www.somogyi.sk/productimages/product_main_images/small/02603.jpg")</f>
        <v>0.0</v>
      </c>
      <c r="F1469" s="2" t="inlineStr">
        <is>
          <t>5998312729182</t>
        </is>
      </c>
      <c r="G1469" s="4" t="inlineStr">
        <is>
          <t xml:space="preserve"> • materiál: pena 
 • farba: čierna 
 • rozmery: Ø200 mm 
 • kompatibilita: 200 mm reproduktory</t>
        </is>
      </c>
    </row>
    <row r="1470">
      <c r="A1470" s="3" t="inlineStr">
        <is>
          <t>SG 13</t>
        </is>
      </c>
      <c r="B1470" s="2" t="inlineStr">
        <is>
          <t>Gumový krúžok, 130mm</t>
        </is>
      </c>
      <c r="C1470" s="1" t="n">
        <v>1.99</v>
      </c>
      <c r="D1470" s="7" t="n">
        <f>HYPERLINK("https://www.somogyi.sk/product/gumovy-kruzok-130mm-sg-13-2997","https://www.somogyi.sk/product/gumovy-kruzok-130mm-sg-13-2997")</f>
        <v>0.0</v>
      </c>
      <c r="E1470" s="7" t="n">
        <f>HYPERLINK("https://www.somogyi.sk/productimages/product_main_images/small/02997.jpg","https://www.somogyi.sk/productimages/product_main_images/small/02997.jpg")</f>
        <v>0.0</v>
      </c>
      <c r="F1470" s="2" t="inlineStr">
        <is>
          <t>5998312733219</t>
        </is>
      </c>
      <c r="G1470" s="4" t="inlineStr">
        <is>
          <t xml:space="preserve"> • materiál: pena 
 • farba: čierna 
 • rozmery: Ø130 mm 
 • kompatibilita: 130 mm reproduktory</t>
        </is>
      </c>
    </row>
    <row r="1471">
      <c r="A1471" s="6" t="inlineStr">
        <is>
          <t>Home Kids</t>
        </is>
      </c>
      <c r="B1471" s="6" t="inlineStr">
        <is>
          <t/>
        </is>
      </c>
      <c r="C1471" s="6" t="inlineStr">
        <is>
          <t/>
        </is>
      </c>
      <c r="D1471" s="6" t="inlineStr">
        <is>
          <t/>
        </is>
      </c>
      <c r="E1471" s="6" t="inlineStr">
        <is>
          <t/>
        </is>
      </c>
      <c r="F1471" s="6" t="inlineStr">
        <is>
          <t/>
        </is>
      </c>
      <c r="G1471" s="6" t="inlineStr">
        <is>
          <t/>
        </is>
      </c>
    </row>
    <row r="1472">
      <c r="A1472" s="3" t="inlineStr">
        <is>
          <t>BB ML01</t>
        </is>
      </c>
      <c r="B1472" s="2" t="inlineStr">
        <is>
          <t>Stropné svietidlo, Bambuľko a Bulienka</t>
        </is>
      </c>
      <c r="C1472" s="1" t="n">
        <v>22.99</v>
      </c>
      <c r="D1472" s="7" t="n">
        <f>HYPERLINK("https://www.somogyi.sk/product/stropne-svietidlo-bambulko-a-bulienka-bb-ml01-16121","https://www.somogyi.sk/product/stropne-svietidlo-bambulko-a-bulienka-bb-ml01-16121")</f>
        <v>0.0</v>
      </c>
      <c r="E1472" s="7" t="n">
        <f>HYPERLINK("https://www.somogyi.sk/productimages/product_main_images/small/16121.jpg","https://www.somogyi.sk/productimages/product_main_images/small/16121.jpg")</f>
        <v>0.0</v>
      </c>
      <c r="F1472" s="2" t="inlineStr">
        <is>
          <t>5999084941536</t>
        </is>
      </c>
      <c r="G1472" s="4" t="inlineStr">
        <is>
          <t xml:space="preserve"> • funkcia: typ objímky: 3 x E14 / max 40 W, zdroj svetla nie je príslušenstvom 
 • ďalšie informácie: materiál: kovové telo, kryt z plátna 
 • napájanie: 230 V~ 
 • rozmery: Ø400 x 285 mm</t>
        </is>
      </c>
    </row>
    <row r="1473">
      <c r="A1473" s="3" t="inlineStr">
        <is>
          <t>BB AL01</t>
        </is>
      </c>
      <c r="B1473" s="2" t="inlineStr">
        <is>
          <t>Stolné svietidlo, Bambuľko a Bulienka</t>
        </is>
      </c>
      <c r="C1473" s="1" t="n">
        <v>6.69</v>
      </c>
      <c r="D1473" s="7" t="n">
        <f>HYPERLINK("https://www.somogyi.sk/product/stolne-svietidlo-bambulko-a-bulienka-bb-al01-16122","https://www.somogyi.sk/product/stolne-svietidlo-bambulko-a-bulienka-bb-al01-16122")</f>
        <v>0.0</v>
      </c>
      <c r="E1473" s="7" t="n">
        <f>HYPERLINK("https://www.somogyi.sk/productimages/product_main_images/small/16122.jpg","https://www.somogyi.sk/productimages/product_main_images/small/16122.jpg")</f>
        <v>0.0</v>
      </c>
      <c r="F1473" s="2" t="inlineStr">
        <is>
          <t>5999084941543</t>
        </is>
      </c>
      <c r="G1473" s="4" t="inlineStr">
        <is>
          <t xml:space="preserve"> • funkcia: typ objímky: E14/max 25W, zdroj svetla nie je príslušenstvom 
 • ďalšie informácie: materiál: kovové   plastové telo, kryt z plátna 
 • napájanie: 230 V~ 
 • rozmery: Ø150 x 400 mm</t>
        </is>
      </c>
    </row>
    <row r="1474">
      <c r="A1474" s="3" t="inlineStr">
        <is>
          <t>VUK LC02</t>
        </is>
      </c>
      <c r="B1474" s="2" t="inlineStr">
        <is>
          <t>LED nočné svetlo, living color, RGB, nabíjateľné, s adaptérom</t>
        </is>
      </c>
      <c r="C1474" s="1" t="n">
        <v>6.69</v>
      </c>
      <c r="D1474" s="7" t="n">
        <f>HYPERLINK("https://www.somogyi.sk/product/led-nocne-svetlo-living-color-rgb-nabijatelne-s-adapterom-vuk-lc02-16123","https://www.somogyi.sk/product/led-nocne-svetlo-living-color-rgb-nabijatelne-s-adapterom-vuk-lc02-16123")</f>
        <v>0.0</v>
      </c>
      <c r="E1474" s="7" t="n">
        <f>HYPERLINK("https://www.somogyi.sk/productimages/product_main_images/small/16123.jpg","https://www.somogyi.sk/productimages/product_main_images/small/16123.jpg")</f>
        <v>0.0</v>
      </c>
      <c r="F1474" s="2" t="inlineStr">
        <is>
          <t>5999084941550</t>
        </is>
      </c>
      <c r="G1474" s="4" t="inlineStr">
        <is>
          <t xml:space="preserve"> • napájanie: 5 V / 350 mAh akumulátor 
 • rozmery: ∅75 x 85 mm 
 • príslušenstvo: USB nabíjací kábel</t>
        </is>
      </c>
    </row>
    <row r="1475">
      <c r="A1475" s="3" t="inlineStr">
        <is>
          <t>PM 01/BG</t>
        </is>
      </c>
      <c r="B1475" s="2" t="inlineStr">
        <is>
          <t>Nočné svetlo medveď</t>
        </is>
      </c>
      <c r="C1475" s="1" t="n">
        <v>21.99</v>
      </c>
      <c r="D1475" s="7" t="n">
        <f>HYPERLINK("https://www.somogyi.sk/product/nocne-svetlo-medved-pm-01-bg-15999","https://www.somogyi.sk/product/nocne-svetlo-medved-pm-01-bg-15999")</f>
        <v>0.0</v>
      </c>
      <c r="E1475" s="7" t="n">
        <f>HYPERLINK("https://www.somogyi.sk/productimages/product_main_images/small/15999.jpg","https://www.somogyi.sk/productimages/product_main_images/small/15999.jpg")</f>
        <v>0.0</v>
      </c>
      <c r="F1475" s="2" t="inlineStr">
        <is>
          <t>5999084940317</t>
        </is>
      </c>
      <c r="G1475" s="4" t="inlineStr">
        <is>
          <t xml:space="preserve"> • voliteľná zmena farieb LED 
 • mäkký, jemný plyš prijemný na dotyk 
 • dekorácia a nočné svetlo v jednom 
 • večer pomáha deťom ľahšie zaspať 
 • možnosť použiť aj ako vankúšik 
 • napájanie: 3 x 1,5 (AA) batéria, nie je príslušenstvom 
 • Svetelné zdroje LED vo svietidle sa nedajú vymeniť! 
 • Tento výrobok nie je určený na domáce osvetlenie; používajte na dekoračné osvetlenie.</t>
        </is>
      </c>
    </row>
    <row r="1476">
      <c r="A1476" s="3" t="inlineStr">
        <is>
          <t>VUK ML01</t>
        </is>
      </c>
      <c r="B1476" s="2" t="inlineStr">
        <is>
          <t>Stropné svietidlo, VUK</t>
        </is>
      </c>
      <c r="C1476" s="1" t="n">
        <v>4.59</v>
      </c>
      <c r="D1476" s="7" t="n">
        <f>HYPERLINK("https://www.somogyi.sk/product/stropne-svietidlo-vuk-vuk-ml01-16120","https://www.somogyi.sk/product/stropne-svietidlo-vuk-vuk-ml01-16120")</f>
        <v>0.0</v>
      </c>
      <c r="E1476" s="7" t="n">
        <f>HYPERLINK("https://www.somogyi.sk/productimages/product_main_images/small/16120.jpg","https://www.somogyi.sk/productimages/product_main_images/small/16120.jpg")</f>
        <v>0.0</v>
      </c>
      <c r="F1476" s="2" t="inlineStr">
        <is>
          <t>5999084941529</t>
        </is>
      </c>
      <c r="G1476" s="4" t="inlineStr">
        <is>
          <t xml:space="preserve"> • funkcia: typ objímky: E14/max 13 W, zdroj svetla nie je príslušenstvom 
 • ďalšie informácie: 2in1, otočením dekoračného okraja zmena farby 
 • napájanie: 230 V~ 
 • rozmery: 328 x 295 x 75 mm, s rámom</t>
        </is>
      </c>
    </row>
    <row r="1477">
      <c r="A1477" s="6" t="inlineStr">
        <is>
          <t xml:space="preserve">   Bytové doplnky / Poplašné zariadenie, príslušenstvo</t>
        </is>
      </c>
      <c r="B1477" s="6" t="inlineStr">
        <is>
          <t/>
        </is>
      </c>
      <c r="C1477" s="6" t="inlineStr">
        <is>
          <t/>
        </is>
      </c>
      <c r="D1477" s="6" t="inlineStr">
        <is>
          <t/>
        </is>
      </c>
      <c r="E1477" s="6" t="inlineStr">
        <is>
          <t/>
        </is>
      </c>
      <c r="F1477" s="6" t="inlineStr">
        <is>
          <t/>
        </is>
      </c>
      <c r="G1477" s="6" t="inlineStr">
        <is>
          <t/>
        </is>
      </c>
    </row>
    <row r="1478">
      <c r="A1478" s="3" t="inlineStr">
        <is>
          <t>HS 64</t>
        </is>
      </c>
      <c r="B1478" s="2" t="inlineStr">
        <is>
          <t>Pohybový senzor</t>
        </is>
      </c>
      <c r="C1478" s="1" t="n">
        <v>4.79</v>
      </c>
      <c r="D1478" s="7" t="n">
        <f>HYPERLINK("https://www.somogyi.sk/product/pohybovy-senzor-hs-64-6650","https://www.somogyi.sk/product/pohybovy-senzor-hs-64-6650")</f>
        <v>0.0</v>
      </c>
      <c r="E1478" s="7" t="n">
        <f>HYPERLINK("https://www.somogyi.sk/productimages/product_main_images/small/06650.jpg","https://www.somogyi.sk/productimages/product_main_images/small/06650.jpg")</f>
        <v>0.0</v>
      </c>
      <c r="F1478" s="2" t="inlineStr">
        <is>
          <t>5998312756898</t>
        </is>
      </c>
      <c r="G1478" s="4" t="inlineStr">
        <is>
          <t xml:space="preserve"> • bezdrôtové: nie 
 • Rf dosah na otvorenom teréne: - 
 • prevádzková frekvencia: - 
 • funkcie: pohybový senzor 
 • pohybový senzor na centrálnej jednotke: nie 
 • LCD displej: nie 
 • diaľkové ovládanie z telefónu: nie 
 • nastaviteľný čas oneskorenia: nie 
 • nemý alarm: nie 
 • kompatibilita: centrálne jednotky: HSM 700, HS 800, HS 700, HS 70, HS60 
 • príslušenstvo: 15 m vedenia 
 • napájanie: z centrály 
 • rozmery: 81 x 141 x 50 mm</t>
        </is>
      </c>
    </row>
    <row r="1479">
      <c r="A1479" s="3" t="inlineStr">
        <is>
          <t>HSS 110</t>
        </is>
      </c>
      <c r="B1479" s="2" t="inlineStr">
        <is>
          <t>Imitácia vonkajšej bezpečnostnej sirény</t>
        </is>
      </c>
      <c r="C1479" s="1" t="n">
        <v>22.99</v>
      </c>
      <c r="D1479" s="7" t="n">
        <f>HYPERLINK("https://www.somogyi.sk/product/imitacia-vonkajsej-bezpecnostnej-sireny-hss-110-17781","https://www.somogyi.sk/product/imitacia-vonkajsej-bezpecnostnej-sireny-hss-110-17781")</f>
        <v>0.0</v>
      </c>
      <c r="E1479" s="7" t="n">
        <f>HYPERLINK("https://www.somogyi.sk/productimages/product_main_images/small/17781.jpg","https://www.somogyi.sk/productimages/product_main_images/small/17781.jpg")</f>
        <v>0.0</v>
      </c>
      <c r="F1479" s="2" t="inlineStr">
        <is>
          <t>5999084958039</t>
        </is>
      </c>
      <c r="G1479" s="4" t="inlineStr">
        <is>
          <t xml:space="preserve"> • reálny vzhľad sirény 
 • na vonkajšie a vnútorné použitie 
 • ochrana proti vode (IP44) 
 • stabilné, masívne prevedenie 
 • priebežne blikajúca červená LED, dobre viditeľná aj z diaľky 
 • jednoduché uvedenie do prevádzky 
 • napájanie: 3 x 1,5 V (AA) batéria, nie je príslušenstvom 
 • 200 x 280 x 95 mm</t>
        </is>
      </c>
    </row>
    <row r="1480">
      <c r="A1480" s="3" t="inlineStr">
        <is>
          <t>HS 61</t>
        </is>
      </c>
      <c r="B1480" s="2" t="inlineStr">
        <is>
          <t>Diaľkový ovládač</t>
        </is>
      </c>
      <c r="C1480" s="1" t="n">
        <v>2.39</v>
      </c>
      <c r="D1480" s="7" t="n">
        <f>HYPERLINK("https://www.somogyi.sk/product/dialkovy-ovladac-hs-61-6646","https://www.somogyi.sk/product/dialkovy-ovladac-hs-61-6646")</f>
        <v>0.0</v>
      </c>
      <c r="E1480" s="7" t="n">
        <f>HYPERLINK("https://www.somogyi.sk/productimages/product_main_images/small/06646.jpg","https://www.somogyi.sk/productimages/product_main_images/small/06646.jpg")</f>
        <v>0.0</v>
      </c>
      <c r="F1480" s="2" t="inlineStr">
        <is>
          <t>5998312756850</t>
        </is>
      </c>
      <c r="G1480" s="4" t="inlineStr">
        <is>
          <t xml:space="preserve"> • bezdrôtové: nie 
 • Rf dosah na otvorenom teréne: - 
 • prevádzková frekvencia: - 
 • funkcie: diaľkový ovládač 
 • pohybový senzor na centrálnej jednotke: nie 
 • LCD displej: nie 
 • diaľkové ovládanie z telefónu: nie 
 • nastaviteľný čas oneskorenia: nie 
 • nemý alarm: nie 
 • kompatibilita: centrálne jednotky: HS60, HS 50 
 • príslušenstvo: batéria 
 • napájanie: 4 x LR44 
 • rozmery: 67 x 45 x 15 mm</t>
        </is>
      </c>
    </row>
    <row r="1481">
      <c r="A1481" s="6" t="inlineStr">
        <is>
          <t xml:space="preserve">   Bytové doplnky / Signalizátor vstupu, poplašné zariadenie</t>
        </is>
      </c>
      <c r="B1481" s="6" t="inlineStr">
        <is>
          <t/>
        </is>
      </c>
      <c r="C1481" s="6" t="inlineStr">
        <is>
          <t/>
        </is>
      </c>
      <c r="D1481" s="6" t="inlineStr">
        <is>
          <t/>
        </is>
      </c>
      <c r="E1481" s="6" t="inlineStr">
        <is>
          <t/>
        </is>
      </c>
      <c r="F1481" s="6" t="inlineStr">
        <is>
          <t/>
        </is>
      </c>
      <c r="G1481" s="6" t="inlineStr">
        <is>
          <t/>
        </is>
      </c>
    </row>
    <row r="1482">
      <c r="A1482" s="3" t="inlineStr">
        <is>
          <t>HSB 120 R</t>
        </is>
      </c>
      <c r="B1482" s="2" t="inlineStr">
        <is>
          <t>Bezdrôtový signalizátor vstupu s diaľkovým ovládačom</t>
        </is>
      </c>
      <c r="C1482" s="1" t="n">
        <v>31.99</v>
      </c>
      <c r="D1482" s="7" t="n">
        <f>HYPERLINK("https://www.somogyi.sk/product/bezdrotovy-signalizator-vstupu-s-dialkovym-ovladacom-hsb-120-r-17074","https://www.somogyi.sk/product/bezdrotovy-signalizator-vstupu-s-dialkovym-ovladacom-hsb-120-r-17074")</f>
        <v>0.0</v>
      </c>
      <c r="E1482" s="7" t="n">
        <f>HYPERLINK("https://www.somogyi.sk/productimages/product_main_images/small/17074.jpg","https://www.somogyi.sk/productimages/product_main_images/small/17074.jpg")</f>
        <v>0.0</v>
      </c>
      <c r="F1482" s="2" t="inlineStr">
        <is>
          <t>5999084951061</t>
        </is>
      </c>
      <c r="G1482" s="4" t="inlineStr">
        <is>
          <t xml:space="preserve"> • bezdrôtové: áno 
 • Rf dosah na otvorenom teréne: 120 m 
 • prevádzková frekvencia: 433,9 MHz 
 • typ senzora: PIR 
 • IP ochrana: IP44 
 •  
 • rozmery: 140 x 90 x 45 mm / 95 x 65 x 33 mm (na vnútorné / vonkajšie použitie)</t>
        </is>
      </c>
    </row>
    <row r="1483">
      <c r="A1483" s="3" t="inlineStr">
        <is>
          <t>HS 22/2</t>
        </is>
      </c>
      <c r="B1483" s="2" t="inlineStr">
        <is>
          <t>Poplašné zariadenie otvorenia dverí/okna</t>
        </is>
      </c>
      <c r="C1483" s="1" t="n">
        <v>4.49</v>
      </c>
      <c r="D1483" s="7" t="n">
        <f>HYPERLINK("https://www.somogyi.sk/product/poplasne-zariadenie-otvorenia-dveri-okna-hs-22-2-10281","https://www.somogyi.sk/product/poplasne-zariadenie-otvorenia-dveri-okna-hs-22-2-10281")</f>
        <v>0.0</v>
      </c>
      <c r="E1483" s="7" t="n">
        <f>HYPERLINK("https://www.somogyi.sk/productimages/product_main_images/small/10281.jpg","https://www.somogyi.sk/productimages/product_main_images/small/10281.jpg")</f>
        <v>0.0</v>
      </c>
      <c r="F1483" s="2" t="inlineStr">
        <is>
          <t>5998312788905</t>
        </is>
      </c>
      <c r="G1483" s="4" t="inlineStr">
        <is>
          <t xml:space="preserve"> • bezdrôtové: nie 
 • funkcie: otvárací senzor 
 • typ senzora: magnetický 
 • typ signalizácie: zvuk (vypnutie/zapnutie) 
 • príslušenstvo: 2 ks senzorov, 2 ks magnetov, gombíkové batérie 
 • napájanie: 2 x (3 x AG13)</t>
        </is>
      </c>
    </row>
    <row r="1484">
      <c r="A1484" s="3" t="inlineStr">
        <is>
          <t>HS 21</t>
        </is>
      </c>
      <c r="B1484" s="2" t="inlineStr">
        <is>
          <t>Signalizátor/alarm otvorenia dverí, okna</t>
        </is>
      </c>
      <c r="C1484" s="1" t="n">
        <v>10.49</v>
      </c>
      <c r="D1484" s="7" t="n">
        <f>HYPERLINK("https://www.somogyi.sk/product/signalizator-alarm-otvorenia-dveri-okna-hs-21-6474","https://www.somogyi.sk/product/signalizator-alarm-otvorenia-dveri-okna-hs-21-6474")</f>
        <v>0.0</v>
      </c>
      <c r="E1484" s="7" t="n">
        <f>HYPERLINK("https://www.somogyi.sk/productimages/product_main_images/small/06474.jpg","https://www.somogyi.sk/productimages/product_main_images/small/06474.jpg")</f>
        <v>0.0</v>
      </c>
      <c r="F1484" s="2" t="inlineStr">
        <is>
          <t>5998312755204</t>
        </is>
      </c>
      <c r="G1484" s="4" t="inlineStr">
        <is>
          <t xml:space="preserve"> • funkcie: signalizátor vstupu / alarm 
 • typ senzora: magnetický 
 • typ signalizácie: zvuk 
 • príslušenstvo: senzor, magnet, gombíková batéria 
 • napájanie: 3 x LR44</t>
        </is>
      </c>
    </row>
    <row r="1485">
      <c r="A1485" s="3" t="inlineStr">
        <is>
          <t>HS 11</t>
        </is>
      </c>
      <c r="B1485" s="2" t="inlineStr">
        <is>
          <t>Signalizátor vstupu s nástennou konzolou</t>
        </is>
      </c>
      <c r="C1485" s="1" t="n">
        <v>15.49</v>
      </c>
      <c r="D1485" s="7" t="n">
        <f>HYPERLINK("https://www.somogyi.sk/product/signalizator-vstupu-s-nastennou-konzolou-hs-11-6472","https://www.somogyi.sk/product/signalizator-vstupu-s-nastennou-konzolou-hs-11-6472")</f>
        <v>0.0</v>
      </c>
      <c r="E1485" s="7" t="n">
        <f>HYPERLINK("https://www.somogyi.sk/productimages/product_main_images/small/06472.jpg","https://www.somogyi.sk/productimages/product_main_images/small/06472.jpg")</f>
        <v>0.0</v>
      </c>
      <c r="F1485" s="2" t="inlineStr">
        <is>
          <t>5998312755181</t>
        </is>
      </c>
      <c r="G1485" s="4" t="inlineStr">
        <is>
          <t xml:space="preserve"> • bezdrôtové: nie 
 • typ senzora: fotosenzor 
 • dosah: 4 - 5 m 
 • typ signalizácie: zvuk (tichý / hlasný / vypnutie) 
 • príslušenstvo: nástenná konzola 
 • napájanie: 4 x AA, adaptér: 6 V DC / 300 mA</t>
        </is>
      </c>
    </row>
    <row r="1486">
      <c r="A1486" s="6" t="inlineStr">
        <is>
          <t xml:space="preserve">   Bytové doplnky / Húkačka, bzučiak</t>
        </is>
      </c>
      <c r="B1486" s="6" t="inlineStr">
        <is>
          <t/>
        </is>
      </c>
      <c r="C1486" s="6" t="inlineStr">
        <is>
          <t/>
        </is>
      </c>
      <c r="D1486" s="6" t="inlineStr">
        <is>
          <t/>
        </is>
      </c>
      <c r="E1486" s="6" t="inlineStr">
        <is>
          <t/>
        </is>
      </c>
      <c r="F1486" s="6" t="inlineStr">
        <is>
          <t/>
        </is>
      </c>
      <c r="G1486" s="6" t="inlineStr">
        <is>
          <t/>
        </is>
      </c>
    </row>
    <row r="1487">
      <c r="A1487" s="3" t="inlineStr">
        <is>
          <t>Z 2</t>
        </is>
      </c>
      <c r="B1487" s="2" t="inlineStr">
        <is>
          <t>Bzučiak, 12V, piezo</t>
        </is>
      </c>
      <c r="C1487" s="1" t="n">
        <v>2.79</v>
      </c>
      <c r="D1487" s="7" t="n">
        <f>HYPERLINK("https://www.somogyi.sk/product/bzuciak-12v-piezo-z-2-2033","https://www.somogyi.sk/product/bzuciak-12v-piezo-z-2-2033")</f>
        <v>0.0</v>
      </c>
      <c r="E1487" s="7" t="n">
        <f>HYPERLINK("https://www.somogyi.sk/productimages/product_main_images/small/02033.jpg","https://www.somogyi.sk/productimages/product_main_images/small/02033.jpg")</f>
        <v>0.0</v>
      </c>
      <c r="F1487" s="2" t="inlineStr">
        <is>
          <t>5998312721384</t>
        </is>
      </c>
      <c r="G1487" s="4" t="inlineStr">
        <is>
          <t xml:space="preserve"> • výkon: - 
 • hlasitosť: 85 dB / 30 cm 
 • hlas: bzučiak 
 • napájanie: 1,5 - 12 V DC 
 • rozmery: Ø22 x 10 mm</t>
        </is>
      </c>
    </row>
    <row r="1488">
      <c r="A1488" s="3" t="inlineStr">
        <is>
          <t>SZ 3-1</t>
        </is>
      </c>
      <c r="B1488" s="2" t="inlineStr">
        <is>
          <t xml:space="preserve">Húkačka, 1 melódia </t>
        </is>
      </c>
      <c r="C1488" s="1" t="n">
        <v>11.49</v>
      </c>
      <c r="D1488" s="7" t="n">
        <f>HYPERLINK("https://www.somogyi.sk/product/hukacka-1-melodia-sz-3-1-1902","https://www.somogyi.sk/product/hukacka-1-melodia-sz-3-1-1902")</f>
        <v>0.0</v>
      </c>
      <c r="E1488" s="7" t="n">
        <f>HYPERLINK("https://www.somogyi.sk/productimages/product_main_images/small/01902.jpg","https://www.somogyi.sk/productimages/product_main_images/small/01902.jpg")</f>
        <v>0.0</v>
      </c>
      <c r="F1488" s="2" t="inlineStr">
        <is>
          <t>5998312704592</t>
        </is>
      </c>
      <c r="G1488" s="4" t="inlineStr">
        <is>
          <t xml:space="preserve"> • výkon: 20 W 
 • hlasitosť: 108 dB 
 • hlas: 1 melódia 
 • napájanie: 6 - 15 V DC 
 • rozmery: Ø87 x 104 x 112</t>
        </is>
      </c>
    </row>
    <row r="1489">
      <c r="A1489" s="3" t="inlineStr">
        <is>
          <t>SZ 1-1</t>
        </is>
      </c>
      <c r="B1489" s="2" t="inlineStr">
        <is>
          <t xml:space="preserve">Húkačka, 1 melódia </t>
        </is>
      </c>
      <c r="C1489" s="1" t="n">
        <v>6.99</v>
      </c>
      <c r="D1489" s="7" t="n">
        <f>HYPERLINK("https://www.somogyi.sk/product/hukacka-1-melodia-sz-1-1-1901","https://www.somogyi.sk/product/hukacka-1-melodia-sz-1-1-1901")</f>
        <v>0.0</v>
      </c>
      <c r="E1489" s="7" t="n">
        <f>HYPERLINK("https://www.somogyi.sk/productimages/product_main_images/small/01901.jpg","https://www.somogyi.sk/productimages/product_main_images/small/01901.jpg")</f>
        <v>0.0</v>
      </c>
      <c r="F1489" s="2" t="inlineStr">
        <is>
          <t>5998312704585</t>
        </is>
      </c>
      <c r="G1489" s="4" t="inlineStr">
        <is>
          <t xml:space="preserve"> • výkon: 20 W 
 • hlasitosť: 100 dB 
 • hlas: 1 melódia 
 • napájanie: 6 - 16 V DC 
 • rozmery: 45 x 40 x 60 mm</t>
        </is>
      </c>
    </row>
    <row r="1490">
      <c r="A1490" s="6" t="inlineStr">
        <is>
          <t xml:space="preserve">   Bytové doplnky / Imitácia bezpečnostnej kamery</t>
        </is>
      </c>
      <c r="B1490" s="6" t="inlineStr">
        <is>
          <t/>
        </is>
      </c>
      <c r="C1490" s="6" t="inlineStr">
        <is>
          <t/>
        </is>
      </c>
      <c r="D1490" s="6" t="inlineStr">
        <is>
          <t/>
        </is>
      </c>
      <c r="E1490" s="6" t="inlineStr">
        <is>
          <t/>
        </is>
      </c>
      <c r="F1490" s="6" t="inlineStr">
        <is>
          <t/>
        </is>
      </c>
      <c r="G1490" s="6" t="inlineStr">
        <is>
          <t/>
        </is>
      </c>
    </row>
    <row r="1491">
      <c r="A1491" s="3" t="inlineStr">
        <is>
          <t>HSK 110</t>
        </is>
      </c>
      <c r="B1491" s="2" t="inlineStr">
        <is>
          <t>Imitácia exteriérovej kamery</t>
        </is>
      </c>
      <c r="C1491" s="1" t="n">
        <v>11.49</v>
      </c>
      <c r="D1491" s="7" t="n">
        <f>HYPERLINK("https://www.somogyi.sk/product/imitacia-exterierovej-kamery-hsk-110-10279","https://www.somogyi.sk/product/imitacia-exterierovej-kamery-hsk-110-10279")</f>
        <v>0.0</v>
      </c>
      <c r="E1491" s="7" t="n">
        <f>HYPERLINK("https://www.somogyi.sk/productimages/product_main_images/small/10279.jpg","https://www.somogyi.sk/productimages/product_main_images/small/10279.jpg")</f>
        <v>0.0</v>
      </c>
      <c r="F1491" s="2" t="inlineStr">
        <is>
          <t>5998312788882</t>
        </is>
      </c>
      <c r="G1491" s="4" t="inlineStr">
        <is>
          <t xml:space="preserve"> • možnosť vonkajšieho použitia: áno 
 • senzor: - 
 • aktivita kamery: priebežne blikajúca LED kontrolka 
 • materiál: plast 
 • napájanie: 2 x AA (nie je príslušenstvo)</t>
        </is>
      </c>
    </row>
    <row r="1492">
      <c r="A1492" s="3" t="inlineStr">
        <is>
          <t>HSK 140</t>
        </is>
      </c>
      <c r="B1492" s="2" t="inlineStr">
        <is>
          <t>Vonkajšia imitácia kamery so svietidlom</t>
        </is>
      </c>
      <c r="C1492" s="1" t="n">
        <v>16.99</v>
      </c>
      <c r="D1492" s="7" t="n">
        <f>HYPERLINK("https://www.somogyi.sk/product/vonkajsia-imitacia-kamery-so-svietidlom-hsk-140-17854","https://www.somogyi.sk/product/vonkajsia-imitacia-kamery-so-svietidlom-hsk-140-17854")</f>
        <v>0.0</v>
      </c>
      <c r="E1492" s="7" t="n">
        <f>HYPERLINK("https://www.somogyi.sk/productimages/product_main_images/small/17854.jpg","https://www.somogyi.sk/productimages/product_main_images/small/17854.jpg")</f>
        <v>0.0</v>
      </c>
      <c r="F1492" s="2" t="inlineStr">
        <is>
          <t>5999084958763</t>
        </is>
      </c>
      <c r="G1492" s="4" t="inlineStr">
        <is>
          <t xml:space="preserve"> • reálny, moderný vzhľad kamery 
 • priebežne blikajúce červené svetlo 
 • dvojité LED svietidlo s bielym svetlom 
 • so senzorom svetla a pohybu 
 • svietidlo sa zapne v tme pri detekcii pohybu 
 • odstraší neželaných návštevníkov, zvyšuje viditeľnosť pri otváraní dverí 
 • otočná, polohovateľná 
 • na vonkajšie aj vnútorné použitie 
 • ochrana proti vode (IP44) 
 • napájanie: 3 x AAA (1,5 V) batéria, nie je príslušenstvom 
 • príslušenstvo: sada skrutiek 
 • rozmery: ∅70 x 143 mm / 120 g</t>
        </is>
      </c>
    </row>
    <row r="1493">
      <c r="A1493" s="3" t="inlineStr">
        <is>
          <t>HSK 130</t>
        </is>
      </c>
      <c r="B1493" s="2" t="inlineStr">
        <is>
          <t>Vonkajšia solárna atrapa kamery</t>
        </is>
      </c>
      <c r="C1493" s="1" t="n">
        <v>22.99</v>
      </c>
      <c r="D1493" s="7" t="n">
        <f>HYPERLINK("https://www.somogyi.sk/product/vonkajsia-solarna-atrapa-kamery-hsk-130-17586","https://www.somogyi.sk/product/vonkajsia-solarna-atrapa-kamery-hsk-130-17586")</f>
        <v>0.0</v>
      </c>
      <c r="E1493" s="7" t="n">
        <f>HYPERLINK("https://www.somogyi.sk/productimages/product_main_images/small/17586.jpg","https://www.somogyi.sk/productimages/product_main_images/small/17586.jpg")</f>
        <v>0.0</v>
      </c>
      <c r="F1493" s="2" t="inlineStr">
        <is>
          <t>5999084956080</t>
        </is>
      </c>
      <c r="G1493" s="4" t="inlineStr">
        <is>
          <t xml:space="preserve"> • možnosť vonkajšieho použitia: áno 
 • aktivita kamery: priebežne blikajúca červená LED 
 • materiál: plast 
 • napájanie: 2 x AA (1,5 V) nabíjateľný akumulátor, nie je príslušenstvom 
 • rozmery: https://www.somogyi.hu/data/product_documents/17586_1_03_04.pdf 
 • ďalšie informácie: VĎAKA SOLÁRNEMU DOBÍJANIU SI NEVYŽADUJE ČASTÚ VÝMENU BATÉRIE, IDEÁLNA PRE VYSOKÚ MONTÁŽ* • realistický vzhľad bezpečnostnej kamery • ochrana proti vode (IP44) • stabilný, masívny dizajn • kamera sa dá nakláňať a otáčať • možno inštalovať rôznymi spôsobmi na vodorovných a zvislých plochách • uvedenie do prevádzky v priebehu niekoľkých minút • príslušenstvo: sada skrutiek, inštalačný materiál • *solárny panel nabíja 2 AA (1,5V) batérie, ktoré je potrebné zakúpiť samostatne</t>
        </is>
      </c>
    </row>
    <row r="1494">
      <c r="A1494" s="3" t="inlineStr">
        <is>
          <t>HSK 120</t>
        </is>
      </c>
      <c r="B1494" s="2" t="inlineStr">
        <is>
          <t>Imitácia bezpečn. kamery</t>
        </is>
      </c>
      <c r="C1494" s="1" t="n">
        <v>4.89</v>
      </c>
      <c r="D1494" s="7" t="n">
        <f>HYPERLINK("https://www.somogyi.sk/product/imitacia-bezpecn-kamery-hsk-120-10280","https://www.somogyi.sk/product/imitacia-bezpecn-kamery-hsk-120-10280")</f>
        <v>0.0</v>
      </c>
      <c r="E1494" s="7" t="n">
        <f>HYPERLINK("https://www.somogyi.sk/productimages/product_main_images/small/10280.jpg","https://www.somogyi.sk/productimages/product_main_images/small/10280.jpg")</f>
        <v>0.0</v>
      </c>
      <c r="F1494" s="2" t="inlineStr">
        <is>
          <t>5998312788899</t>
        </is>
      </c>
      <c r="G1494" s="4" t="inlineStr">
        <is>
          <t xml:space="preserve"> • možnosť vonkajšieho použitia: nie 
 • senzor: pohyb 
 • aktivita kamery: pri snímaní bliká LED kontrolka 
 • materiál: plast 
 • napájanie: 2 x AA (nie je príslušenstvo)</t>
        </is>
      </c>
    </row>
    <row r="1495">
      <c r="A1495" s="6" t="inlineStr">
        <is>
          <t xml:space="preserve">   Bytové doplnky / Diaľkový ovládač</t>
        </is>
      </c>
      <c r="B1495" s="6" t="inlineStr">
        <is>
          <t/>
        </is>
      </c>
      <c r="C1495" s="6" t="inlineStr">
        <is>
          <t/>
        </is>
      </c>
      <c r="D1495" s="6" t="inlineStr">
        <is>
          <t/>
        </is>
      </c>
      <c r="E1495" s="6" t="inlineStr">
        <is>
          <t/>
        </is>
      </c>
      <c r="F1495" s="6" t="inlineStr">
        <is>
          <t/>
        </is>
      </c>
      <c r="G1495" s="6" t="inlineStr">
        <is>
          <t/>
        </is>
      </c>
    </row>
    <row r="1496">
      <c r="A1496" s="3" t="inlineStr">
        <is>
          <t>RC-OPEN4/P</t>
        </is>
      </c>
      <c r="B1496" s="2" t="inlineStr">
        <is>
          <t xml:space="preserve">Univerzálny diaľkový ovládač, s fixným kódom </t>
        </is>
      </c>
      <c r="C1496" s="1" t="n">
        <v>8.29</v>
      </c>
      <c r="D1496" s="7" t="n">
        <f>HYPERLINK("https://www.somogyi.sk/product/univerzalny-dialkovy-ovladac-s-fixnym-kodom-rc-open4-p-13122","https://www.somogyi.sk/product/univerzalny-dialkovy-ovladac-s-fixnym-kodom-rc-open4-p-13122")</f>
        <v>0.0</v>
      </c>
      <c r="E1496" s="7" t="n">
        <f>HYPERLINK("https://www.somogyi.sk/productimages/product_main_images/small/13122.jpg","https://www.somogyi.sk/productimages/product_main_images/small/13122.jpg")</f>
        <v>0.0</v>
      </c>
      <c r="F1496" s="2" t="inlineStr">
        <is>
          <t>5999084913038</t>
        </is>
      </c>
      <c r="G1496" s="4" t="inlineStr">
        <is>
          <t xml:space="preserve"> • frekvencia nastavenia diaľkového ovládača: 433 MHz 
 • kódovanie nastaviteľného diaľkového ovládača: fixné 
 • materiál: plast 
 • pri výmene batérií sa nevymaže nastavený kód: áno 
 • počet naprogramovateľných tlačidiel: 4 ks 
 • napájanie: LR23A (12V) (príslušenstvo)</t>
        </is>
      </c>
    </row>
    <row r="1497">
      <c r="A1497" s="6" t="inlineStr">
        <is>
          <t xml:space="preserve">   Bytové doplnky / Video vchodový telefón</t>
        </is>
      </c>
      <c r="B1497" s="6" t="inlineStr">
        <is>
          <t/>
        </is>
      </c>
      <c r="C1497" s="6" t="inlineStr">
        <is>
          <t/>
        </is>
      </c>
      <c r="D1497" s="6" t="inlineStr">
        <is>
          <t/>
        </is>
      </c>
      <c r="E1497" s="6" t="inlineStr">
        <is>
          <t/>
        </is>
      </c>
      <c r="F1497" s="6" t="inlineStr">
        <is>
          <t/>
        </is>
      </c>
      <c r="G1497" s="6" t="inlineStr">
        <is>
          <t/>
        </is>
      </c>
    </row>
    <row r="1498">
      <c r="A1498" s="3" t="inlineStr">
        <is>
          <t>DPV 270K</t>
        </is>
      </c>
      <c r="B1498" s="2" t="inlineStr">
        <is>
          <t>Vonkajšia kamera na rozšírenie DPV 270</t>
        </is>
      </c>
      <c r="C1498" s="1" t="n">
        <v>63.99</v>
      </c>
      <c r="D1498" s="7" t="n">
        <f>HYPERLINK("https://www.somogyi.sk/product/vonkajsia-kamera-na-rozsirenie-dpv-270-dpv-270k-17627","https://www.somogyi.sk/product/vonkajsia-kamera-na-rozsirenie-dpv-270-dpv-270k-17627")</f>
        <v>0.0</v>
      </c>
      <c r="E1498" s="7" t="n">
        <f>HYPERLINK("https://www.somogyi.sk/productimages/product_main_images/small/17627.jpg","https://www.somogyi.sk/productimages/product_main_images/small/17627.jpg")</f>
        <v>0.0</v>
      </c>
      <c r="F1498" s="2" t="inlineStr">
        <is>
          <t>5999084956493</t>
        </is>
      </c>
      <c r="G1498" s="4" t="inlineStr">
        <is>
          <t xml:space="preserve"> • možnosť umiestnenia vonkajšej jednotky: povrchová montáž (IP44) 
 • funkcia nočného pozorovania: nočný režim kamery so skrytými infračervenými LED 
 • vedenia: 4-žilový 
 •  
 •  
 • napájanie: z monitora DPV 270 ( 12 V) 
 • rozmery: ~80 x 160 x 30 mm</t>
        </is>
      </c>
    </row>
    <row r="1499">
      <c r="A1499" s="3" t="inlineStr">
        <is>
          <t>DPV 26</t>
        </is>
      </c>
      <c r="B1499" s="2" t="inlineStr">
        <is>
          <t>Vchodový videotelefón,  7" farebný, biely</t>
        </is>
      </c>
      <c r="C1499" s="1" t="n">
        <v>132.9</v>
      </c>
      <c r="D1499" s="7" t="n">
        <f>HYPERLINK("https://www.somogyi.sk/product/vchodovy-videotelefon-7-farebny-biely-dpv-26-16382","https://www.somogyi.sk/product/vchodovy-videotelefon-7-farebny-biely-dpv-26-16382")</f>
        <v>0.0</v>
      </c>
      <c r="E1499" s="7" t="n">
        <f>HYPERLINK("https://www.somogyi.sk/productimages/product_main_images/small/16382.jpg","https://www.somogyi.sk/productimages/product_main_images/small/16382.jpg")</f>
        <v>0.0</v>
      </c>
      <c r="F1499" s="2" t="inlineStr">
        <is>
          <t>5999084944148</t>
        </is>
      </c>
      <c r="G1499" s="4" t="inlineStr">
        <is>
          <t xml:space="preserve"> • rozmer displeja: 7” (17,5cm) 
 • kamera / displej: farebná 
 • rozlíšenie displeja: 800 x 480 
 • vedenia: 4-žilový 
 • voliteľné zvonenie: 16 druhov 
 • funkcia pozorovania vonkajšieho prostredia: áno 
 • príslušenstvo: rám proti dažďu, pripojovací kábel (ca .9 m), nástenný kovový držiak, sieťový adaptér, skrutky 
 • rozmery: vonkajšia jednotka: 40 x 119 x 30 mm 
 • vnútorná jednotka: 182 x 134 x 19 mm</t>
        </is>
      </c>
    </row>
    <row r="1500">
      <c r="A1500" s="3" t="inlineStr">
        <is>
          <t>DPV WIFI 100</t>
        </is>
      </c>
      <c r="B1500" s="2" t="inlineStr">
        <is>
          <t>SMART vchodový videotelefón</t>
        </is>
      </c>
      <c r="C1500" s="1" t="n">
        <v>121.9</v>
      </c>
      <c r="D1500" s="7" t="n">
        <f>HYPERLINK("https://www.somogyi.sk/product/smart-vchodovy-videotelefon-dpv-wifi-100-17830","https://www.somogyi.sk/product/smart-vchodovy-videotelefon-dpv-wifi-100-17830")</f>
        <v>0.0</v>
      </c>
      <c r="E1500" s="7" t="n">
        <f>HYPERLINK("https://www.somogyi.sk/productimages/product_main_images/small/17830.jpg","https://www.somogyi.sk/productimages/product_main_images/small/17830.jpg")</f>
        <v>0.0</v>
      </c>
      <c r="F1500" s="2" t="inlineStr">
        <is>
          <t>5999084958527</t>
        </is>
      </c>
      <c r="G1500" s="4" t="inlineStr">
        <is>
          <t xml:space="preserve"> • funkcia nočného pozorovania: áno 
 •  
 • funkcia pozorovania vonkajšieho prostredia: áno 
 • kompatibilita: platforma TUYA je kompatibilná s mobilnými telefónmi Android a iOS 
 •  
 • napájanie: 2 typy napájania: pripravené na pripojenie vstavanej, vymeniteľnej batérie alebo sieťového adaptéra (nie je súčasťou balenia) 
 • ďalšie informácie: 5v1: vchodový videotelefón, tichý alarm, sledovacia kamera, bezdrôtový zvonček, nočné svetlo s pohybovým senzorom • krytie na úrovni IP54 proti prachu a vode</t>
        </is>
      </c>
    </row>
    <row r="1501">
      <c r="A1501" s="3" t="inlineStr">
        <is>
          <t>DPV WIFI</t>
        </is>
      </c>
      <c r="B1501" s="2" t="inlineStr">
        <is>
          <t>SMART vchodový videotelefón, WiFi, bezdrôtový zvonček</t>
        </is>
      </c>
      <c r="C1501" s="1" t="n">
        <v>108.9</v>
      </c>
      <c r="D1501" s="7" t="n">
        <f>HYPERLINK("https://www.somogyi.sk/product/smart-vchodovy-videotelefon-wifi-bezdrotovy-zvoncek-dpv-wifi-16094","https://www.somogyi.sk/product/smart-vchodovy-videotelefon-wifi-bezdrotovy-zvoncek-dpv-wifi-16094")</f>
        <v>0.0</v>
      </c>
      <c r="E1501" s="7" t="n">
        <f>HYPERLINK("https://www.somogyi.sk/productimages/product_main_images/small/16094.jpg","https://www.somogyi.sk/productimages/product_main_images/small/16094.jpg")</f>
        <v>0.0</v>
      </c>
      <c r="F1501" s="2" t="inlineStr">
        <is>
          <t>5999084941260</t>
        </is>
      </c>
      <c r="G1501" s="4" t="inlineStr">
        <is>
          <t xml:space="preserve"> • kamera / displej: farebná (v nočnom režime čierno-biela) 
 • funkcia nočného pozorovania: áno 
 • vyhotovenie fotografie pri zvonení: áno 
 • vedenia: napájacia jednotka (2 žily)   LAN (keď spôsob pripojenia nie je cez WIFI)   otvárač brány (opcia) 
 • voliteľné zvonenie: áno 
 • výstup pre elektrický zámok: relé 
 • kompatibilita: Android 4.1  / IOS 7.1 
 • príslušenstvo: vonkajšia jednotka, s rámom proti dažďu / napájacia jednotka k vonkajšej jednotke / vnútorná jednotka 
 • napájanie: vonkajšia jednotka: 230 V~ (adaptér) / zvonček: 3 x AA batéria (nie je príslušenstvom) 
 • rozmery: vonkajšia jednotka: 83 x 165 x 62 mm / zvonček: 86 x 86 x 28 mm</t>
        </is>
      </c>
    </row>
    <row r="1502">
      <c r="A1502" s="3" t="inlineStr">
        <is>
          <t>DPV SMART</t>
        </is>
      </c>
      <c r="B1502" s="2" t="inlineStr">
        <is>
          <t>Vchodový videotelefón, 7" dotyková obrazovka</t>
        </is>
      </c>
      <c r="C1502" s="1" t="n">
        <v>196.9</v>
      </c>
      <c r="D1502" s="7" t="n">
        <f>HYPERLINK("https://www.somogyi.sk/product/vchodovy-videotelefon-7-dotykova-obrazovka-dpv-smart-18308","https://www.somogyi.sk/product/vchodovy-videotelefon-7-dotykova-obrazovka-dpv-smart-18308")</f>
        <v>0.0</v>
      </c>
      <c r="E1502" s="7" t="n">
        <f>HYPERLINK("https://www.somogyi.sk/productimages/product_main_images/small/18308.jpg","https://www.somogyi.sk/productimages/product_main_images/small/18308.jpg")</f>
        <v>0.0</v>
      </c>
      <c r="F1502" s="2" t="inlineStr">
        <is>
          <t>5999084963309</t>
        </is>
      </c>
      <c r="G1502" s="4" t="inlineStr">
        <is>
          <t xml:space="preserve"> • rozmer displeja: 7” (17,7 cm) 
 • rozlíšenie displeja: 1024 x 600P 
 • rozlíšenie kamery: 1920x1080, 1080P AHD 
 •  
 •  
 •  
 •  
 •  
 •  
 •  
 • kompatibilita: Android / iOS</t>
        </is>
      </c>
    </row>
    <row r="1503">
      <c r="A1503" s="3" t="inlineStr">
        <is>
          <t>DPV 270RFID</t>
        </is>
      </c>
      <c r="B1503" s="2" t="inlineStr">
        <is>
          <t>Bezdrôtové kľúče RFID k DPV 270</t>
        </is>
      </c>
      <c r="C1503" s="1" t="n">
        <v>13.49</v>
      </c>
      <c r="D1503" s="7" t="n">
        <f>HYPERLINK("https://www.somogyi.sk/product/bezdrotove-kluce-rfid-k-dpv-270-dpv-270rfid-17673","https://www.somogyi.sk/product/bezdrotove-kluce-rfid-k-dpv-270-dpv-270rfid-17673")</f>
        <v>0.0</v>
      </c>
      <c r="E1503" s="7" t="n">
        <f>HYPERLINK("https://www.somogyi.sk/productimages/product_main_images/small/17673.jpg","https://www.somogyi.sk/productimages/product_main_images/small/17673.jpg")</f>
        <v>0.0</v>
      </c>
      <c r="F1503" s="2" t="inlineStr">
        <is>
          <t>5999084956950</t>
        </is>
      </c>
      <c r="G1503" s="4" t="inlineStr">
        <is>
          <t xml:space="preserve"> • ďalšie informácie: 5 modrých USER kľúčov na otvorenie • 1 červený kľúč (CLEAN) na vymazanie všetkých kariet zo systému naraz • 1 žltý kľúč (ADD) na pridanie modrých kľúčov • RFID 125 kHz / max. 10-30 mm • stratené alebo poškodené kľúče je možné vymeniť • so systémom je možné spárovať maximálne 24 kľúčov</t>
        </is>
      </c>
    </row>
    <row r="1504">
      <c r="A1504" s="6" t="inlineStr">
        <is>
          <t xml:space="preserve">   Bytové doplnky / Audio vchodový telefón</t>
        </is>
      </c>
      <c r="B1504" s="6" t="inlineStr">
        <is>
          <t/>
        </is>
      </c>
      <c r="C1504" s="6" t="inlineStr">
        <is>
          <t/>
        </is>
      </c>
      <c r="D1504" s="6" t="inlineStr">
        <is>
          <t/>
        </is>
      </c>
      <c r="E1504" s="6" t="inlineStr">
        <is>
          <t/>
        </is>
      </c>
      <c r="F1504" s="6" t="inlineStr">
        <is>
          <t/>
        </is>
      </c>
      <c r="G1504" s="6" t="inlineStr">
        <is>
          <t/>
        </is>
      </c>
    </row>
    <row r="1505">
      <c r="A1505" s="3" t="inlineStr">
        <is>
          <t>DP 02</t>
        </is>
      </c>
      <c r="B1505" s="2" t="inlineStr">
        <is>
          <t>Sada vchodového telefónu</t>
        </is>
      </c>
      <c r="C1505" s="1" t="n">
        <v>32.99</v>
      </c>
      <c r="D1505" s="7" t="n">
        <f>HYPERLINK("https://www.somogyi.sk/product/sada-vchodoveho-telefonu-dp-02-6479","https://www.somogyi.sk/product/sada-vchodoveho-telefonu-dp-02-6479")</f>
        <v>0.0</v>
      </c>
      <c r="E1505" s="7" t="n">
        <f>HYPERLINK("https://www.somogyi.sk/productimages/product_main_images/small/06479.jpg","https://www.somogyi.sk/productimages/product_main_images/small/06479.jpg")</f>
        <v>0.0</v>
      </c>
      <c r="F1505" s="2" t="inlineStr">
        <is>
          <t>5998312755259</t>
        </is>
      </c>
      <c r="G1505" s="4" t="inlineStr">
        <is>
          <t xml:space="preserve"> • možnosť umiestnenia vonkajšej jednotky: zapustenie 
 • výstup pre elektrický zámok: 12 V DC max. 200 mA / 15 m (na prevádzku zámku s vyšším odberom prúdu ako aj v prípade väčšej vzdialenosti je potrebné použiť externý transformátor a relé) 
 • menovka: s osvetlením 
 • intercom: nie 
 • vedenia: 2 + 2 žilové 
 • rozmery: vnútorná: 87 x 227 x 45 mm, vonkajšia: 200 x 116 x 55 mm 
 • napájanie: 230 V~ / 50 Hz</t>
        </is>
      </c>
    </row>
    <row r="1506">
      <c r="A1506" s="3" t="inlineStr">
        <is>
          <t>DP 01</t>
        </is>
      </c>
      <c r="B1506" s="2" t="inlineStr">
        <is>
          <t>Sada vchodového telefónu</t>
        </is>
      </c>
      <c r="C1506" s="1" t="n">
        <v>26.99</v>
      </c>
      <c r="D1506" s="7" t="n">
        <f>HYPERLINK("https://www.somogyi.sk/product/sada-vchodoveho-telefonu-dp-01-6478","https://www.somogyi.sk/product/sada-vchodoveho-telefonu-dp-01-6478")</f>
        <v>0.0</v>
      </c>
      <c r="E1506" s="7" t="n">
        <f>HYPERLINK("https://www.somogyi.sk/productimages/product_main_images/small/06478.jpg","https://www.somogyi.sk/productimages/product_main_images/small/06478.jpg")</f>
        <v>0.0</v>
      </c>
      <c r="F1506" s="2" t="inlineStr">
        <is>
          <t>5998312755242</t>
        </is>
      </c>
      <c r="G1506" s="4" t="inlineStr">
        <is>
          <t xml:space="preserve"> • možnosť umiestnenia vonkajšej jednotky: na stenu 
 • výstup pre elektrický zámok: 12 V DC max.300 mA / 15 m (na prevádzku zámku s vyšším odberom prúdu ako aj v prípade väčšej vzdialenosti je potrebné použiť externý transformátor a relé) 
 • menovka: nie 
 • intercom: nie 
 • vedenia: 2 + 2 žilové 
 • rozmery: vnútorná: 87 x 227 x 45 mm, vonkajšia: 73 x 100 x 36 mm 
 • napájanie: 230 V~ / 50 Hz</t>
        </is>
      </c>
    </row>
    <row r="1507">
      <c r="A1507" s="3" t="inlineStr">
        <is>
          <t>DP 012</t>
        </is>
      </c>
      <c r="B1507" s="2" t="inlineStr">
        <is>
          <t xml:space="preserve">Sada vchodového telefónu, pre dva byty </t>
        </is>
      </c>
      <c r="C1507" s="1" t="n">
        <v>56.99</v>
      </c>
      <c r="D1507" s="7" t="n">
        <f>HYPERLINK("https://www.somogyi.sk/product/sada-vchodoveho-telefonu-pre-dva-byty-dp-012-6480","https://www.somogyi.sk/product/sada-vchodoveho-telefonu-pre-dva-byty-dp-012-6480")</f>
        <v>0.0</v>
      </c>
      <c r="E1507" s="7" t="n">
        <f>HYPERLINK("https://www.somogyi.sk/productimages/product_main_images/small/06480.jpg","https://www.somogyi.sk/productimages/product_main_images/small/06480.jpg")</f>
        <v>0.0</v>
      </c>
      <c r="F1507" s="2" t="inlineStr">
        <is>
          <t>5998312755266</t>
        </is>
      </c>
      <c r="G1507" s="4" t="inlineStr">
        <is>
          <t xml:space="preserve"> • možnosť umiestnenia vonkajšej jednotky: zapustenie 
 • výstup pre elektrický zámok: 12 V DC max. 200 mA / 15 m (na prevádzku zámku s vyšším odberom prúdu ako aj v prípade väčšej vzdialenosti je potrebné použiť externý transformátor a relé) 
 • menovka: s osvetlením 
 • intercom: nie 
 • vedenia: 2 + 2 žilové 
 • rozmery: vnútorná: 87 x 227 x 45 mm, vonkajšia: 200 x 116 x 55 mm 
 • napájanie: 230 V~ / 50 Hz</t>
        </is>
      </c>
    </row>
    <row r="1508">
      <c r="A1508" s="3" t="inlineStr">
        <is>
          <t>DP 22</t>
        </is>
      </c>
      <c r="B1508" s="2" t="inlineStr">
        <is>
          <t>Vchodový telefón, kovový</t>
        </is>
      </c>
      <c r="C1508" s="1" t="n">
        <v>39.99</v>
      </c>
      <c r="D1508" s="7" t="n">
        <f>HYPERLINK("https://www.somogyi.sk/product/vchodovy-telefon-kovovy-dp-22-18047","https://www.somogyi.sk/product/vchodovy-telefon-kovovy-dp-22-18047")</f>
        <v>0.0</v>
      </c>
      <c r="E1508" s="7" t="n">
        <f>HYPERLINK("https://www.somogyi.sk/productimages/product_main_images/small/18047.jpg","https://www.somogyi.sk/productimages/product_main_images/small/18047.jpg")</f>
        <v>0.0</v>
      </c>
      <c r="F1508" s="2" t="inlineStr">
        <is>
          <t>5999084960698</t>
        </is>
      </c>
      <c r="G1508" s="4" t="inlineStr">
        <is>
          <t xml:space="preserve"> • vedenia: 2-vodičové pripojenie 
 • napájanie: 230 V~ / 50 Hz 
 • zvuková signalizácia: nastaviteľná hlasitosť 
 • ochrana proti vode: IP23</t>
        </is>
      </c>
    </row>
    <row r="1509">
      <c r="A1509" s="6" t="inlineStr">
        <is>
          <t xml:space="preserve">   Bytové doplnky / Zvonček</t>
        </is>
      </c>
      <c r="B1509" s="6" t="inlineStr">
        <is>
          <t/>
        </is>
      </c>
      <c r="C1509" s="6" t="inlineStr">
        <is>
          <t/>
        </is>
      </c>
      <c r="D1509" s="6" t="inlineStr">
        <is>
          <t/>
        </is>
      </c>
      <c r="E1509" s="6" t="inlineStr">
        <is>
          <t/>
        </is>
      </c>
      <c r="F1509" s="6" t="inlineStr">
        <is>
          <t/>
        </is>
      </c>
      <c r="G1509" s="6" t="inlineStr">
        <is>
          <t/>
        </is>
      </c>
    </row>
    <row r="1510">
      <c r="A1510" s="3" t="inlineStr">
        <is>
          <t>DB 1030DC</t>
        </is>
      </c>
      <c r="B1510" s="2" t="inlineStr">
        <is>
          <t>Bezdrôtový zvonček, 100m, 3xAA</t>
        </is>
      </c>
      <c r="C1510" s="1" t="n">
        <v>12.99</v>
      </c>
      <c r="D1510" s="7" t="n">
        <f>HYPERLINK("https://www.somogyi.sk/product/bezdrotovy-zvoncek-100m-3xaa-db-1030dc-16923","https://www.somogyi.sk/product/bezdrotovy-zvoncek-100m-3xaa-db-1030dc-16923")</f>
        <v>0.0</v>
      </c>
      <c r="E1510" s="7" t="n">
        <f>HYPERLINK("https://www.somogyi.sk/productimages/product_main_images/small/16923.jpg","https://www.somogyi.sk/productimages/product_main_images/small/16923.jpg")</f>
        <v>0.0</v>
      </c>
      <c r="F1510" s="2" t="inlineStr">
        <is>
          <t>5999084949556</t>
        </is>
      </c>
      <c r="G1510" s="4" t="inlineStr">
        <is>
          <t xml:space="preserve"> • farba: biela 
 • Rf dosah na otvorenom teréne: ~100 m 
 • prevádzková frekvencia: 433,9 MHz 
 • ochrana tlačidla voči vode: IP44 
 • výber melódie: 36 melódií</t>
        </is>
      </c>
    </row>
    <row r="1511">
      <c r="A1511" s="3" t="inlineStr">
        <is>
          <t>D 6</t>
        </is>
      </c>
      <c r="B1511" s="2" t="inlineStr">
        <is>
          <t xml:space="preserve">Melodický zvonček s vedením </t>
        </is>
      </c>
      <c r="C1511" s="1" t="n">
        <v>18.99</v>
      </c>
      <c r="D1511" s="7" t="n">
        <f>HYPERLINK("https://www.somogyi.sk/product/melodicky-zvoncek-s-vedenim-d-6-2783","https://www.somogyi.sk/product/melodicky-zvoncek-s-vedenim-d-6-2783")</f>
        <v>0.0</v>
      </c>
      <c r="E1511" s="7" t="n">
        <f>HYPERLINK("https://www.somogyi.sk/productimages/product_main_images/small/02783.jpg","https://www.somogyi.sk/productimages/product_main_images/small/02783.jpg")</f>
        <v>0.0</v>
      </c>
      <c r="F1511" s="2" t="inlineStr">
        <is>
          <t>5998312731079</t>
        </is>
      </c>
      <c r="G1511" s="4" t="inlineStr">
        <is>
          <t xml:space="preserve"> • bezdrôtový / s káblom: s káblom 
 • Rf dosah na otvorenom teréne: - 
 • prevádzková frekvencia: - 
 • funkcie: pri zazvonení: 1 vybraná melódia / zvoní nasledovná melódia 
 • individuálne kódované: nie 
 • regulovateľná hlasitosť: nie 
 • výber melódie: 8 melódií 
 • zobrazenie stavu batérií: nie 
 • svetelná signalizácia: nie 
 • napájanie: 2 x AA batéria (nie je príslušenstvo) 
 • rozmery: 98 x 155 x 38 mm</t>
        </is>
      </c>
    </row>
    <row r="1512">
      <c r="A1512" s="3" t="inlineStr">
        <is>
          <t>DC515N</t>
        </is>
      </c>
      <c r="B1512" s="2" t="inlineStr">
        <is>
          <t>Bezdrôtový zvonček, Honeywell, 3 x AA</t>
        </is>
      </c>
      <c r="C1512" s="1" t="n">
        <v>53.99</v>
      </c>
      <c r="D1512" s="7" t="n">
        <f>HYPERLINK("https://www.somogyi.sk/product/bezdrotovy-zvoncek-honeywell-3-x-aa-dc515n-17296","https://www.somogyi.sk/product/bezdrotovy-zvoncek-honeywell-3-x-aa-dc515n-17296")</f>
        <v>0.0</v>
      </c>
      <c r="E1512" s="7" t="n">
        <f>HYPERLINK("https://www.somogyi.sk/productimages/product_main_images/small/17296.jpg","https://www.somogyi.sk/productimages/product_main_images/small/17296.jpg")</f>
        <v>0.0</v>
      </c>
      <c r="F1512" s="2" t="inlineStr">
        <is>
          <t>5004100965516</t>
        </is>
      </c>
      <c r="G1512" s="4" t="inlineStr">
        <is>
          <t xml:space="preserve"> • farba: biela/sivá 
 • bezdrôtový / s káblom: bezdrôtový 
 • Rf dosah na otvorenom teréne: max. 150 m 
 • prevádzková frekvencia: 868 MHz 
 • funkcie: zvuková signalizácia / zvuková a svetelná signalizácia 
 • ochrana tlačidla voči vode: IP55 
 • regulovateľná hlasitosť: áno 
 • hlasitosť: max. 84 dB 
 • výber melódie: 6 melódií 
 • načasovaný tichý režim: 3, 6, 9, 12 h 
 • zobrazenie stavu batérií: áno 
 • príslušenstvo: vnútorná jednotka, tlačidlo, CR2032 batéria 
 • napájanie: napájanie zvončeka: 3 x 1,5 V (AA) LR6 batéria, nie je príslušenstvom / napájanie tlačidla: 1 x 3 V (CR2032) batéria, je príslušenstvom 
 • rozmery: vnútorná jednotka: 70 x 70 x 42,5 mm / tlačidlo: 70 x 30 x 15 mm</t>
        </is>
      </c>
    </row>
    <row r="1513">
      <c r="A1513" s="3" t="inlineStr">
        <is>
          <t>DC313NP2</t>
        </is>
      </c>
      <c r="B1513" s="2" t="inlineStr">
        <is>
          <t>Bezdrôtový zvonček, 230 V~, 150 m, Honeywell</t>
        </is>
      </c>
      <c r="C1513" s="1" t="n">
        <v>53.99</v>
      </c>
      <c r="D1513" s="7" t="n">
        <f>HYPERLINK("https://www.somogyi.sk/product/bezdrotovy-zvoncek-230-v-150-m-honeywell-dc313np2-17295","https://www.somogyi.sk/product/bezdrotovy-zvoncek-230-v-150-m-honeywell-dc313np2-17295")</f>
        <v>0.0</v>
      </c>
      <c r="E1513" s="7" t="n">
        <f>HYPERLINK("https://www.somogyi.sk/productimages/product_main_images/small/17295.jpg","https://www.somogyi.sk/productimages/product_main_images/small/17295.jpg")</f>
        <v>0.0</v>
      </c>
      <c r="F1513" s="2" t="inlineStr">
        <is>
          <t>5004100965448</t>
        </is>
      </c>
      <c r="G1513" s="4" t="inlineStr">
        <is>
          <t xml:space="preserve"> • farba: biela/sivá 
 • bezdrôtový / s káblom: bezdrôtový 
 • Rf dosah na otvorenom teréne: max. 150 m 
 • prevádzková frekvencia: 868 MHz 
 • funkcie: zvuková signalizácia / zvuková a svetelná signalizácia 
 • ochrana tlačidla voči vode: IP55 
 • regulovateľná hlasitosť: áno 
 • hlasitosť: max. 84 dB 
 • výber melódie: 6 melódií 
 • príslušenstvo: vnútorná jednotka, tlačidlo, CR2032 batéria 
 • napájanie: napájanie zvončeka: 230 V~/ 50 Hz / napájanie tlačidla: 1 x 3 V (CR2032) batéria, je príslušenstvom 
 • rozmery: vnútorná jednotka: 110 x 70 x 40 mm / tlačidlo: 70 x 30 x 15 mm</t>
        </is>
      </c>
    </row>
    <row r="1514">
      <c r="A1514" s="3" t="inlineStr">
        <is>
          <t>DBP 03</t>
        </is>
      </c>
      <c r="B1514" s="2" t="inlineStr">
        <is>
          <t>Tlačidlo k bezdrôtového zvončeku</t>
        </is>
      </c>
      <c r="C1514" s="1" t="n">
        <v>9.59</v>
      </c>
      <c r="D1514" s="7" t="n">
        <f>HYPERLINK("https://www.somogyi.sk/product/tlacidlo-k-bezdrotoveho-zvonceku-dbp-03-16380","https://www.somogyi.sk/product/tlacidlo-k-bezdrotoveho-zvonceku-dbp-03-16380")</f>
        <v>0.0</v>
      </c>
      <c r="E1514" s="7" t="n">
        <f>HYPERLINK("https://www.somogyi.sk/productimages/product_main_images/small/16380.jpg","https://www.somogyi.sk/productimages/product_main_images/small/16380.jpg")</f>
        <v>0.0</v>
      </c>
      <c r="F1514" s="2" t="inlineStr">
        <is>
          <t>5999084944124</t>
        </is>
      </c>
      <c r="G1514" s="4" t="inlineStr">
        <is>
          <t xml:space="preserve"> • bezdrôtový / s káblom: bezdrôtový 
 • Rf dosah na otvorenom teréne: cca. 200 m 
 • prevádzková frekvencia: 433,9 MHz 
 • individuálne kódované: áno 
 • ochrana tlačidla voči vode: IP44 
 • napájanie: 1 x CR 2032 (3 V) batéria, je príslušenstvom 
 • rozmery: 27 x 76 x 16 mm</t>
        </is>
      </c>
    </row>
    <row r="1515">
      <c r="A1515" s="3" t="inlineStr">
        <is>
          <t>DC515NP2</t>
        </is>
      </c>
      <c r="B1515" s="2" t="inlineStr">
        <is>
          <t>Bezdrôtový zvonček, 230 V~/50 Hz, Honeywell</t>
        </is>
      </c>
      <c r="C1515" s="1" t="n">
        <v>63.99</v>
      </c>
      <c r="D1515" s="7" t="n">
        <f>HYPERLINK("https://www.somogyi.sk/product/bezdrotovy-zvoncek-230-v-50-hz-honeywell-dc515np2-17297","https://www.somogyi.sk/product/bezdrotovy-zvoncek-230-v-50-hz-honeywell-dc515np2-17297")</f>
        <v>0.0</v>
      </c>
      <c r="E1515" s="7" t="n">
        <f>HYPERLINK("https://www.somogyi.sk/productimages/product_main_images/small/17297.jpg","https://www.somogyi.sk/productimages/product_main_images/small/17297.jpg")</f>
        <v>0.0</v>
      </c>
      <c r="F1515" s="2" t="inlineStr">
        <is>
          <t>5004100965554</t>
        </is>
      </c>
      <c r="G1515" s="4" t="inlineStr">
        <is>
          <t xml:space="preserve"> • farba: biela/sivá 
 • bezdrôtový / s káblom: bezdrôtový 
 • Rf dosah na otvorenom teréne: max. 150 m 
 • prevádzková frekvencia: 868 MHz 
 • funkcie: zvuková signalizácia / zvuková a svetelná signalizácia 
 • ochrana tlačidla voči vode: IP55 
 • regulovateľná hlasitosť: áno 
 • hlasitosť: max. 84 dB 
 • výber melódie: 9 melódií 
 • načasovaný tichý režim: 3, 6, 9, 12 h 
 •  
 • príslušenstvo: vnútorná jednotka, tlačidlo, CR2032 batéria 
 • napájanie: vnútorná jednotka: 230 V~  / 50 Hz, tlačidlo: CR2032 batéria (je príslušenstvom) 
 • rozmery: vnútorná jednotka: 70 x 70 x 76,5 mm • tlačidlo: 70 x 30 x 15 mm</t>
        </is>
      </c>
    </row>
    <row r="1516">
      <c r="A1516" s="3" t="inlineStr">
        <is>
          <t>DC311N</t>
        </is>
      </c>
      <c r="B1516" s="2" t="inlineStr">
        <is>
          <t>Bezdrôtový zvonček, 150 m, Honeywell</t>
        </is>
      </c>
      <c r="C1516" s="1" t="n">
        <v>41.99</v>
      </c>
      <c r="D1516" s="7" t="n">
        <f>HYPERLINK("https://www.somogyi.sk/product/bezdrotovy-zvoncek-150-m-honeywell-dc311n-17292","https://www.somogyi.sk/product/bezdrotovy-zvoncek-150-m-honeywell-dc311n-17292")</f>
        <v>0.0</v>
      </c>
      <c r="E1516" s="7" t="n">
        <f>HYPERLINK("https://www.somogyi.sk/productimages/product_main_images/small/17292.jpg","https://www.somogyi.sk/productimages/product_main_images/small/17292.jpg")</f>
        <v>0.0</v>
      </c>
      <c r="F1516" s="2" t="inlineStr">
        <is>
          <t>5004100965349</t>
        </is>
      </c>
      <c r="G1516" s="4" t="inlineStr">
        <is>
          <t xml:space="preserve"> • farba: biela/sivá 
 • bezdrôtový / s káblom: bezdrôtový 
 • Rf dosah na otvorenom teréne: max. 150 m 
 • prevádzková frekvencia: 868 MHz 
 • ochrana tlačidla voči vode: IP55 
 • regulovateľná hlasitosť: nie 
 • hlasitosť: max. 80 dB 
 • výber melódie: 4 melódie 
 • príslušenstvo: vnútorná jednotka, tlačidlo, CR2032 batéria 
 • napájanie: vnútorná jednotka:4 x AA (nie je príslušenstvom), tlačidlo: CR2032 batéria (je príslušenstvom) 
 • rozmery: vnútorná jednotka: 110 x 70 x 40 mm / tlačidlo: 70 x 30 x 15 mm</t>
        </is>
      </c>
    </row>
    <row r="1517">
      <c r="A1517" s="3" t="inlineStr">
        <is>
          <t>DB 1001DC</t>
        </is>
      </c>
      <c r="B1517" s="2" t="inlineStr">
        <is>
          <t>Bezdrôtový zvonček, 100 m, štipec na opasok</t>
        </is>
      </c>
      <c r="C1517" s="1" t="n">
        <v>19.99</v>
      </c>
      <c r="D1517" s="7" t="n">
        <f>HYPERLINK("https://www.somogyi.sk/product/bezdrotovy-zvoncek-100-m-stipec-na-opasok-db-1001dc-15867","https://www.somogyi.sk/product/bezdrotovy-zvoncek-100-m-stipec-na-opasok-db-1001dc-15867")</f>
        <v>0.0</v>
      </c>
      <c r="E1517" s="7" t="n">
        <f>HYPERLINK("https://www.somogyi.sk/productimages/product_main_images/small/15867.jpg","https://www.somogyi.sk/productimages/product_main_images/small/15867.jpg")</f>
        <v>0.0</v>
      </c>
      <c r="F1517" s="2" t="inlineStr">
        <is>
          <t>5999084939014</t>
        </is>
      </c>
      <c r="G1517" s="4" t="inlineStr">
        <is>
          <t xml:space="preserve"> • bezdrôtový / s káblom: bezdrôtový 
 • Rf dosah na otvorenom teréne: 100 m 
 • prevádzková frekvencia: 433,9 MHz 
 • individuálne kódované: áno 
 • ochrana tlačidla voči vode: IP44 
 • výber melódie: 8 melódií 
 • možnosť rozšírenia: max. 4 tlačidlá 
 • svetelná signalizácia: blikajúca svetelná signalizácia pri zvonení 
 • napájanie: vnútorná jednotka: 2 x AA (nie je príslušenstvom), tlačidlo: CR2032 (je príslušenstvom</t>
        </is>
      </c>
    </row>
    <row r="1518">
      <c r="A1518" s="3" t="inlineStr">
        <is>
          <t>DB 1000AC</t>
        </is>
      </c>
      <c r="B1518" s="2" t="inlineStr">
        <is>
          <t>Bezdrôtový zvonček, 100 m</t>
        </is>
      </c>
      <c r="C1518" s="1" t="n">
        <v>18.49</v>
      </c>
      <c r="D1518" s="7" t="n">
        <f>HYPERLINK("https://www.somogyi.sk/product/bezdrotovy-zvoncek-100-m-db-1000ac-17130","https://www.somogyi.sk/product/bezdrotovy-zvoncek-100-m-db-1000ac-17130")</f>
        <v>0.0</v>
      </c>
      <c r="E1518" s="7" t="n">
        <f>HYPERLINK("https://www.somogyi.sk/productimages/product_main_images/small/17130.jpg","https://www.somogyi.sk/productimages/product_main_images/small/17130.jpg")</f>
        <v>0.0</v>
      </c>
      <c r="F1518" s="2" t="inlineStr">
        <is>
          <t>5999084951627</t>
        </is>
      </c>
      <c r="G1518" s="4" t="inlineStr">
        <is>
          <t xml:space="preserve"> • farba: biela 
 • bezdrôtový / s káblom: bezdrôtový 
 • Rf dosah na otvorenom teréne: ~100 m 
 • prevádzková frekvencia: 433,92 MHz 
 • funkcie: aktívny svetelný signál v tichom režime 
 • individuálne kódované: individuálne kódovanie s funkciou učenia 
 • ochrana tlačidla voči vode: IP44 
 • regulovateľná hlasitosť: 4 nastaviteľné stupne 
 • hlasitosť: 85 Mhz 
 • výber melódie: 38 melódií 
 • možnosť rozšírenia: max. 4 tlačidlá 
 • napájanie: tlačidlo: CR2032 (3 V) batéria, je príslušenstvom / vnútorná jednotka: 230 V~ / 50 Hz / 0,3 W 
 • rozmery: ∅50 x 41 mm</t>
        </is>
      </c>
    </row>
    <row r="1519">
      <c r="A1519" s="3" t="inlineStr">
        <is>
          <t>DCP711</t>
        </is>
      </c>
      <c r="B1519" s="2" t="inlineStr">
        <is>
          <t>Bezdrôtové tlačidlo</t>
        </is>
      </c>
      <c r="C1519" s="1" t="n">
        <v>16.99</v>
      </c>
      <c r="D1519" s="7" t="n">
        <f>HYPERLINK("https://www.somogyi.sk/product/bezdrotove-tlacidlo-dcp711-17506","https://www.somogyi.sk/product/bezdrotove-tlacidlo-dcp711-17506")</f>
        <v>0.0</v>
      </c>
      <c r="E1519" s="7" t="n">
        <f>HYPERLINK("https://www.somogyi.sk/productimages/product_main_images/small/17506.jpg","https://www.somogyi.sk/productimages/product_main_images/small/17506.jpg")</f>
        <v>0.0</v>
      </c>
      <c r="F1519" s="2" t="inlineStr">
        <is>
          <t>5004100967831</t>
        </is>
      </c>
      <c r="G1519" s="4" t="inlineStr">
        <is>
          <t xml:space="preserve"> • výlučne pre zvončeky značky Honeywell typu DC 
 • RF dosah na otvorenom teréne: 200 m 
 • prevádzková frekvencia: 868 MHz 
 • ochrana IP55 
 • napájanie: CR2032 batéria, je príslušenstvom 
 • rozmery: 42 x 42 x 18,5 mm</t>
        </is>
      </c>
    </row>
    <row r="1520">
      <c r="A1520" s="3" t="inlineStr">
        <is>
          <t>DCP311</t>
        </is>
      </c>
      <c r="B1520" s="2" t="inlineStr">
        <is>
          <t>Bezdrôtové tlačidlo pre DCxxx zvonček</t>
        </is>
      </c>
      <c r="C1520" s="1" t="n">
        <v>16.99</v>
      </c>
      <c r="D1520" s="7" t="n">
        <f>HYPERLINK("https://www.somogyi.sk/product/bezdrotove-tlacidlo-pre-dcxxx-zvoncek-dcp311-17507","https://www.somogyi.sk/product/bezdrotove-tlacidlo-pre-dcxxx-zvoncek-dcp311-17507")</f>
        <v>0.0</v>
      </c>
      <c r="E1520" s="7" t="n">
        <f>HYPERLINK("https://www.somogyi.sk/productimages/product_main_images/small/17507.jpg","https://www.somogyi.sk/productimages/product_main_images/small/17507.jpg")</f>
        <v>0.0</v>
      </c>
      <c r="F1520" s="2" t="inlineStr">
        <is>
          <t>5004100965738</t>
        </is>
      </c>
      <c r="G1520" s="4" t="inlineStr">
        <is>
          <t xml:space="preserve"> • farba: biela farba 
 • bezdrôtový / s káblom: bezdrôtový 
 • Rf dosah na otvorenom teréne: 200 m 
 • prevádzková frekvencia: 868 MHz 
 • ochrana tlačidla voči vode: IP55 
 • napájanie: CR2032 batéria (je príslušenstvom) 
 • rozmery: 30 x 70 x 16 mm</t>
        </is>
      </c>
    </row>
    <row r="1521">
      <c r="A1521" s="3" t="inlineStr">
        <is>
          <t>DC311NP2</t>
        </is>
      </c>
      <c r="B1521" s="2" t="inlineStr">
        <is>
          <t>Bezdrôtový zvonček, 230 V~, 150 m, Honeywell</t>
        </is>
      </c>
      <c r="C1521" s="1" t="n">
        <v>50.99</v>
      </c>
      <c r="D1521" s="7" t="n">
        <f>HYPERLINK("https://www.somogyi.sk/product/bezdrotovy-zvoncek-230-v-150-m-honeywell-dc311np2-17293","https://www.somogyi.sk/product/bezdrotovy-zvoncek-230-v-150-m-honeywell-dc311np2-17293")</f>
        <v>0.0</v>
      </c>
      <c r="E1521" s="7" t="n">
        <f>HYPERLINK("https://www.somogyi.sk/productimages/product_main_images/small/17293.jpg","https://www.somogyi.sk/productimages/product_main_images/small/17293.jpg")</f>
        <v>0.0</v>
      </c>
      <c r="F1521" s="2" t="inlineStr">
        <is>
          <t>5004100965356</t>
        </is>
      </c>
      <c r="G1521" s="4" t="inlineStr">
        <is>
          <t xml:space="preserve"> • farba: biela/sivá 
 • bezdrôtový / s káblom: bezdrôtový 
 • Rf dosah na otvorenom teréne: max. 150 m 
 • prevádzková frekvencia: 868 MHz 
 • ochrana tlačidla voči vode: IP55 
 • hlasitosť: max. 80 dB 
 • výber melódie: 4 melódie 
 • príslušenstvo: vnútorná jednotka, tlačidlo, CR2032 batéria 
 • napájanie: napájanie zvončeka: 230 V~/ 50 Hz / napájanie tlačidla: 1 x 3 V (CR2032) batéria, je príslušenstvom 
 • rozmery: vnútorná jednotka: 110 x 70 x 40 mm / tlačidlo: 70 x 30 x 15 mm</t>
        </is>
      </c>
    </row>
    <row r="1522">
      <c r="A1522" s="3" t="inlineStr">
        <is>
          <t>DB112AC</t>
        </is>
      </c>
      <c r="B1522" s="2" t="inlineStr">
        <is>
          <t>Bezdrôtový zvonček, 230V, 100 m</t>
        </is>
      </c>
      <c r="C1522" s="1" t="n">
        <v>21.99</v>
      </c>
      <c r="D1522" s="7" t="n">
        <f>HYPERLINK("https://www.somogyi.sk/product/bezdrotovy-zvoncek-230v-100-m-db112ac-18474","https://www.somogyi.sk/product/bezdrotovy-zvoncek-230v-100-m-db112ac-18474")</f>
        <v>0.0</v>
      </c>
      <c r="E1522" s="7" t="n">
        <f>HYPERLINK("https://www.somogyi.sk/productimages/product_main_images/small/18474.jpg","https://www.somogyi.sk/productimages/product_main_images/small/18474.jpg")</f>
        <v>0.0</v>
      </c>
      <c r="F1522" s="2" t="inlineStr">
        <is>
          <t>5999084964924</t>
        </is>
      </c>
      <c r="G1522" s="4" t="inlineStr">
        <is>
          <t xml:space="preserve"> • dosah na otvorenom teréne: cca. 100 m 
 • 36 rôznych melódií 
 • viachlasný, príjemný zvuk 
 • nastaviteľná sila zvuku, 4 stupne 
 • modré LED kontrolky 
 • IP44 ochrana proti prachu a vody tlačidla 
 • individuálne vopred kódovaný 
 • prevádzková frekvencia: 433,9 MHz 
 • napájanie: tlačidla: LR23A (12 V) batéria, je prísluš. zvončeka: 230 V~ / 50 Hz / 1 W 
 • rozmery: tlačidla: 90 x 60 x 30 mm; zvončeka: 85 x 60 x 25 mm</t>
        </is>
      </c>
    </row>
    <row r="1523">
      <c r="A1523" s="3" t="inlineStr">
        <is>
          <t>DBK 1500AC</t>
        </is>
      </c>
      <c r="B1523" s="2" t="inlineStr">
        <is>
          <t>Bezdrôtový a bezbatériový zvonček, 230 V, 150 m</t>
        </is>
      </c>
      <c r="C1523" s="1" t="n">
        <v>28.99</v>
      </c>
      <c r="D1523" s="7" t="n">
        <f>HYPERLINK("https://www.somogyi.sk/product/bezdrotovy-a-bezbateriovy-zvoncek-230-v-150-m-dbk-1500ac-16434","https://www.somogyi.sk/product/bezdrotovy-a-bezbateriovy-zvoncek-230-v-150-m-dbk-1500ac-16434")</f>
        <v>0.0</v>
      </c>
      <c r="E1523" s="7" t="n">
        <f>HYPERLINK("https://www.somogyi.sk/productimages/product_main_images/small/16434.jpg","https://www.somogyi.sk/productimages/product_main_images/small/16434.jpg")</f>
        <v>0.0</v>
      </c>
      <c r="F1523" s="2" t="inlineStr">
        <is>
          <t>5999084944667</t>
        </is>
      </c>
      <c r="G1523" s="4" t="inlineStr">
        <is>
          <t xml:space="preserve"> • bezdrôtový / s káblom: bezdrôtový 
 • Rf dosah na otvorenom teréne: cca. 150 m 
 • prevádzková frekvencia: 433,9 MHz 
 • individuálne kódované: áno 
 • regulovateľná hlasitosť: 4 stupne   tichý režim 
 • výber melódie: 36 melódií 
 • možnosť rozšírenia: max. 4 tlačidlá 
 • svetelná signalizácia: áno 
 • napájanie: vnútorná jednotka: 230 V~  / 50 Hz, tlačidlo: kinetická energia</t>
        </is>
      </c>
    </row>
    <row r="1524">
      <c r="A1524" s="3" t="inlineStr">
        <is>
          <t>DB 2020AC</t>
        </is>
      </c>
      <c r="B1524" s="2" t="inlineStr">
        <is>
          <t>Bezdrôtový zvonček, 230 V~, 200m</t>
        </is>
      </c>
      <c r="C1524" s="1" t="n">
        <v>20.99</v>
      </c>
      <c r="D1524" s="7" t="n">
        <f>HYPERLINK("https://www.somogyi.sk/product/bezdrotovy-zvoncek-230-v-200m-db-2020ac-15467","https://www.somogyi.sk/product/bezdrotovy-zvoncek-230-v-200m-db-2020ac-15467")</f>
        <v>0.0</v>
      </c>
      <c r="E1524" s="7" t="n">
        <f>HYPERLINK("https://www.somogyi.sk/productimages/product_main_images/small/15467.jpg","https://www.somogyi.sk/productimages/product_main_images/small/15467.jpg")</f>
        <v>0.0</v>
      </c>
      <c r="F1524" s="2" t="inlineStr">
        <is>
          <t>5999084935016</t>
        </is>
      </c>
      <c r="G1524" s="4" t="inlineStr">
        <is>
          <t xml:space="preserve"> • bezdrôtový / s káblom: bezdrôtový 
 • Rf dosah na otvorenom teréne: cca. 200 m 
 • prevádzková frekvencia: 433,9 MHz 
 • individuálne kódované: áno 
 • ochrana tlačidla voči vode: IP44 
 • regulovateľná hlasitosť: 5 stupní 
 • výber melódie: 36 melódií 
 • zobrazenie stavu batérií: áno 
 • svetelná signalizácia: áno 
 • napájanie: vnútorná jednotka: 230 V~  / 50 Hz / 0,9 W, tlačidlo: LR23A batéria (je príslušenstvom) 
 • rozmery: vnútorná jednotka: 80 x 76 x 23 mm, tlačidlo: 42 x 78 x 19 mm</t>
        </is>
      </c>
    </row>
    <row r="1525">
      <c r="A1525" s="3" t="inlineStr">
        <is>
          <t>DC313N</t>
        </is>
      </c>
      <c r="B1525" s="2" t="inlineStr">
        <is>
          <t>Bezdrôtový zvonček, 150 m, Honeywell</t>
        </is>
      </c>
      <c r="C1525" s="1" t="n">
        <v>47.99</v>
      </c>
      <c r="D1525" s="7" t="n">
        <f>HYPERLINK("https://www.somogyi.sk/product/bezdrotovy-zvoncek-150-m-honeywell-dc313n-17294","https://www.somogyi.sk/product/bezdrotovy-zvoncek-150-m-honeywell-dc313n-17294")</f>
        <v>0.0</v>
      </c>
      <c r="E1525" s="7" t="n">
        <f>HYPERLINK("https://www.somogyi.sk/productimages/product_main_images/small/17294.jpg","https://www.somogyi.sk/productimages/product_main_images/small/17294.jpg")</f>
        <v>0.0</v>
      </c>
      <c r="F1525" s="2" t="inlineStr">
        <is>
          <t>5004100965370</t>
        </is>
      </c>
      <c r="G1525" s="4" t="inlineStr">
        <is>
          <t xml:space="preserve"> • farba: biela/sivá 
 • bezdrôtový / s káblom: bezdrôtový 
 • Rf dosah na otvorenom teréne: max. 150 m 
 • prevádzková frekvencia: 868 MHz 
 • funkcie: zvuková signalizácia / zvuková a svetelná signalizácia 
 • ochrana tlačidla voči vode: IP55 
 • regulovateľná hlasitosť: áno 
 • hlasitosť: max. 84 dB 
 • výber melódie: 6 melódií 
 • príslušenstvo: vnútorná jednotka, tlačidlo, CR2032 batéria 
 • napájanie: vnútorná jednotka:4 x AA (nie je príslušenstvom), tlačidlo: CR2032 batéria (je príslušenstvom) 
 • rozmery: vnútorná jednotka: 110 x 70 x 40 mm / tlačidlo: 70 x 30 x 15 mm</t>
        </is>
      </c>
    </row>
    <row r="1526">
      <c r="A1526" s="3" t="inlineStr">
        <is>
          <t>DBS 1501AC</t>
        </is>
      </c>
      <c r="B1526" s="2" t="inlineStr">
        <is>
          <t>Set bezdrôtového zvončeka, 2 zvončeky, 230 V~, 150 m</t>
        </is>
      </c>
      <c r="C1526" s="1" t="n">
        <v>30.99</v>
      </c>
      <c r="D1526" s="7" t="n">
        <f>HYPERLINK("https://www.somogyi.sk/product/set-bezdrotoveho-zvonceka-2-zvonceky-230-v-150-m-dbs-1501ac-15841","https://www.somogyi.sk/product/set-bezdrotoveho-zvonceka-2-zvonceky-230-v-150-m-dbs-1501ac-15841")</f>
        <v>0.0</v>
      </c>
      <c r="E1526" s="7" t="n">
        <f>HYPERLINK("https://www.somogyi.sk/productimages/product_main_images/small/15841.jpg","https://www.somogyi.sk/productimages/product_main_images/small/15841.jpg")</f>
        <v>0.0</v>
      </c>
      <c r="F1526" s="2" t="inlineStr">
        <is>
          <t>5999084938758</t>
        </is>
      </c>
      <c r="G1526" s="4" t="inlineStr">
        <is>
          <t xml:space="preserve"> • bezdrôtový / s káblom: bezdrôtový 
 • Rf dosah na otvorenom teréne: cca. 150 m 
 • prevádzková frekvencia: 433,9 MHz 
 • individuálne kódované: áno 
 • regulovateľná hlasitosť: 4 stupne 
 • výber melódie: 36 melódií 
 • svetelná signalizácia: blikajúci svetelný signál pri zvonení 
 • príslušenstvo: 2 vnútorné jednotky, 1 tlačidlo 
 • napájanie: vnútorná jednotka: 230 V~ / tlačidlo: LR23A batéria (je príslušenstvom) 
 • rozmery: vnútorná jednotka: 50 x 100 x 35 mm / tlačidlo: 45 x 70 x 20 mm</t>
        </is>
      </c>
    </row>
    <row r="1527">
      <c r="A1527" s="3" t="inlineStr">
        <is>
          <t>DBS 1001DC</t>
        </is>
      </c>
      <c r="B1527" s="2" t="inlineStr">
        <is>
          <t>Set bezdrôtového zvončeka, 2 zvončeky, 1 tlačidlo, 100 m, štipec na opasok</t>
        </is>
      </c>
      <c r="C1527" s="1" t="n">
        <v>28.99</v>
      </c>
      <c r="D1527" s="7" t="n">
        <f>HYPERLINK("https://www.somogyi.sk/product/set-bezdrotoveho-zvonceka-2-zvonceky-1-tlacidlo-100-m-stipec-na-opasok-dbs-1001dc-15868","https://www.somogyi.sk/product/set-bezdrotoveho-zvonceka-2-zvonceky-1-tlacidlo-100-m-stipec-na-opasok-dbs-1001dc-15868")</f>
        <v>0.0</v>
      </c>
      <c r="E1527" s="7" t="n">
        <f>HYPERLINK("https://www.somogyi.sk/productimages/product_main_images/small/15868.jpg","https://www.somogyi.sk/productimages/product_main_images/small/15868.jpg")</f>
        <v>0.0</v>
      </c>
      <c r="F1527" s="2" t="inlineStr">
        <is>
          <t>5999084939021</t>
        </is>
      </c>
      <c r="G1527" s="4" t="inlineStr">
        <is>
          <t xml:space="preserve"> • bezdrôtový / s káblom: bezdrôtový 
 • Rf dosah na otvorenom teréne: 100 m 
 • prevádzková frekvencia: 433,9 MHz 
 • individuálne kódované: áno 
 • ochrana tlačidla voči vode: IP44 
 • výber melódie: 8 melódií 
 • možnosť rozšírenia: max. 4 tlačidlá 
 • svetelná signalizácia: blikajúci svetelný signál pri zvonení 
 • príslušenstvo: 2 vnútorné jednotky, 1 tlačidlo 
 • napájanie: vnútorná jednotka: 2 x AA batéria (nie je príslušenstvom), tlačidlo: CR2032 batéria (je príslušenstvom)</t>
        </is>
      </c>
    </row>
    <row r="1528">
      <c r="A1528" s="3" t="inlineStr">
        <is>
          <t>DC915NG</t>
        </is>
      </c>
      <c r="B1528" s="2" t="inlineStr">
        <is>
          <t>Bezdrôtový zvonček, 200 m, Honeywell</t>
        </is>
      </c>
      <c r="C1528" s="1" t="n">
        <v>63.99</v>
      </c>
      <c r="D1528" s="7" t="n">
        <f>HYPERLINK("https://www.somogyi.sk/product/bezdrotovy-zvoncek-200-m-honeywell-dc915ng-17299","https://www.somogyi.sk/product/bezdrotovy-zvoncek-200-m-honeywell-dc915ng-17299")</f>
        <v>0.0</v>
      </c>
      <c r="E1528" s="7" t="n">
        <f>HYPERLINK("https://www.somogyi.sk/productimages/product_main_images/small/17299.jpg","https://www.somogyi.sk/productimages/product_main_images/small/17299.jpg")</f>
        <v>0.0</v>
      </c>
      <c r="F1528" s="2" t="inlineStr">
        <is>
          <t>5004100965622</t>
        </is>
      </c>
      <c r="G1528" s="4" t="inlineStr">
        <is>
          <t xml:space="preserve"> • farba: strieborná 
 • bezdrôtový / s káblom: bezdrôtový 
 • Rf dosah na otvorenom teréne: max. 200 m 
 • prevádzková frekvencia: 868 MHz 
 • funkcie: zvuková signalizácia / zvuková a svetelná signalizácia 
 • individuálne kódované: áno 
 • ochrana tlačidla voči vode: IP55 
 • regulovateľná hlasitosť: áno 
 • hlasitosť: max. 90 dB 
 • výber melódie: 11 melódií 
 • načasovaný tichý režim: 3, 6, 9, 12 h 
 • zobrazenie stavu batérií: áno 
 • príslušenstvo: vnútorná jednotka, tlačidlo, CR2032 batéria 
 • napájanie: vnútorná jednotka:4 x C (nie je príslušenstvom) alebo externá napájacia jednotka (micro USB, 5 V / 500 mA, (nie je príslušenstvom), tlačidlo: CR2032 (je príslušenstvom) 
 • rozmery: vnútorná jednotka: 126 x 126 x 41,8 mm, tlačidlo: 30 x 70 x 16 mm</t>
        </is>
      </c>
    </row>
    <row r="1529">
      <c r="A1529" s="3" t="inlineStr">
        <is>
          <t>DB 1091AC</t>
        </is>
      </c>
      <c r="B1529" s="2" t="inlineStr">
        <is>
          <t>Bezdrôtový zvonček, 100 m,  230 V~</t>
        </is>
      </c>
      <c r="C1529" s="1" t="n">
        <v>15.49</v>
      </c>
      <c r="D1529" s="7" t="n">
        <f>HYPERLINK("https://www.somogyi.sk/product/bezdrotovy-zvoncek-100-m-230-v-db-1091ac-18270","https://www.somogyi.sk/product/bezdrotovy-zvoncek-100-m-230-v-db-1091ac-18270")</f>
        <v>0.0</v>
      </c>
      <c r="E1529" s="7" t="n">
        <f>HYPERLINK("https://www.somogyi.sk/productimages/product_main_images/small/18270.jpg","https://www.somogyi.sk/productimages/product_main_images/small/18270.jpg")</f>
        <v>0.0</v>
      </c>
      <c r="F1529" s="2" t="inlineStr">
        <is>
          <t>5999084962920</t>
        </is>
      </c>
      <c r="G1529" s="4" t="inlineStr">
        <is>
          <t xml:space="preserve"> • farba: biela 
 • Rf dosah na otvorenom teréne: ~100 m 
 • prevádzková frekvencia: 433,92 MHz 
 • individuálne kódované: áno 
 • ochrana tlačidla voči vode: IP44 
 • regulovateľná hlasitosť: 3 stupne 
 • výber melódie: 36 melódií</t>
        </is>
      </c>
    </row>
    <row r="1530">
      <c r="A1530" s="3" t="inlineStr">
        <is>
          <t>DB 2070AC</t>
        </is>
      </c>
      <c r="B1530" s="2" t="inlineStr">
        <is>
          <t>Zvonček, 230 V~, 200 m</t>
        </is>
      </c>
      <c r="C1530" s="1" t="n">
        <v>20.99</v>
      </c>
      <c r="D1530" s="7" t="n">
        <f>HYPERLINK("https://www.somogyi.sk/product/zvoncek-230-v-200-m-db-2070ac-16256","https://www.somogyi.sk/product/zvoncek-230-v-200-m-db-2070ac-16256")</f>
        <v>0.0</v>
      </c>
      <c r="E1530" s="7" t="n">
        <f>HYPERLINK("https://www.somogyi.sk/productimages/product_main_images/small/16256.jpg","https://www.somogyi.sk/productimages/product_main_images/small/16256.jpg")</f>
        <v>0.0</v>
      </c>
      <c r="F1530" s="2" t="inlineStr">
        <is>
          <t>5999084942885</t>
        </is>
      </c>
      <c r="G1530" s="4" t="inlineStr">
        <is>
          <t xml:space="preserve"> • bezdrôtový / s káblom: bezdrôtový 
 • Rf dosah na otvorenom teréne: cca. 200 m 
 • prevádzková frekvencia: 433,9 MHz 
 • individuálne kódované: áno 
 • ochrana tlačidla voči vode: IP44 
 • regulovateľná hlasitosť: 5 stupní 
 • výber melódie: 36 melódií 
 • zobrazenie stavu batérií: áno 
 • svetelná signalizácia: áno 
 • napájanie: vnútorná jednotka: 230 V~  / 50 Hz / 0,9 W, tlačidlo: LR23A batéria (je príslušenstvom) 
 • rozmery: vnútorná jednotka: 80 x 76 x 23 mm, tlačidlo: 42 x 78 x 19 mm</t>
        </is>
      </c>
    </row>
    <row r="1531">
      <c r="A1531" s="3" t="inlineStr">
        <is>
          <t>DBK 1401AC</t>
        </is>
      </c>
      <c r="B1531" s="2" t="inlineStr">
        <is>
          <t>Bezdrôtový zvonček, 230 V, 140 m</t>
        </is>
      </c>
      <c r="C1531" s="1" t="n">
        <v>23.99</v>
      </c>
      <c r="D1531" s="7" t="n">
        <f>HYPERLINK("https://www.somogyi.sk/product/bezdrotovy-zvoncek-230-v-140-m-dbk-1401ac-18307","https://www.somogyi.sk/product/bezdrotovy-zvoncek-230-v-140-m-dbk-1401ac-18307")</f>
        <v>0.0</v>
      </c>
      <c r="E1531" s="7" t="n">
        <f>HYPERLINK("https://www.somogyi.sk/productimages/product_main_images/small/18307.jpg","https://www.somogyi.sk/productimages/product_main_images/small/18307.jpg")</f>
        <v>0.0</v>
      </c>
      <c r="F1531" s="2" t="inlineStr">
        <is>
          <t>5999084963293</t>
        </is>
      </c>
      <c r="G1531" s="4" t="inlineStr">
        <is>
          <t xml:space="preserve"> • Rf dosah na otvorenom teréne: ~140 m 
 • prevádzková frekvencia: 433,92 MHz 
 • ochrana tlačidla voči vode: IP44 
 • regulovateľná hlasitosť: 4 stupne 
 • hlasitosť: ~86 dB max. / 0,3 m 
 • výber melódie: 36 melódií</t>
        </is>
      </c>
    </row>
    <row r="1532">
      <c r="A1532" s="3" t="inlineStr">
        <is>
          <t>DBK 1000AC</t>
        </is>
      </c>
      <c r="B1532" s="2" t="inlineStr">
        <is>
          <t>Bezdrôtový a bezbatériový zvonček, 230 V, 100 m</t>
        </is>
      </c>
      <c r="C1532" s="1" t="n">
        <v>27.99</v>
      </c>
      <c r="D1532" s="7" t="n">
        <f>HYPERLINK("https://www.somogyi.sk/product/bezdrotovy-a-bezbateriovy-zvoncek-230-v-100-m-dbk-1000ac-16425","https://www.somogyi.sk/product/bezdrotovy-a-bezbateriovy-zvoncek-230-v-100-m-dbk-1000ac-16425")</f>
        <v>0.0</v>
      </c>
      <c r="E1532" s="7" t="n">
        <f>HYPERLINK("https://www.somogyi.sk/productimages/product_main_images/small/16425.jpg","https://www.somogyi.sk/productimages/product_main_images/small/16425.jpg")</f>
        <v>0.0</v>
      </c>
      <c r="F1532" s="2" t="inlineStr">
        <is>
          <t>5999084944575</t>
        </is>
      </c>
      <c r="G1532" s="4" t="inlineStr">
        <is>
          <t xml:space="preserve"> • bezdrôtový / s káblom: bezdrôtový 
 • Rf dosah na otvorenom teréne: 100 lm 
 • prevádzková frekvencia: 433,9 MHz 
 • funkcie: zvuková signalizácia / priebežné nočné svetlo 
 • individuálne kódované: áno 
 • ochrana tlačidla voči vode: IP44 
 • regulovateľná hlasitosť: 3 stupne 
 • výber melódie: 36 melódií 
 • možnosť rozšírenia: max. 4 tlačidlá 
 • svetelná signalizácia: pri zvonení bliká 
 • napájanie: vnútorná jednotka: 230 V~  / 50 Hz, tlačidlo: kinetická energia</t>
        </is>
      </c>
    </row>
    <row r="1533">
      <c r="A1533" s="3" t="inlineStr">
        <is>
          <t>DCR313N</t>
        </is>
      </c>
      <c r="B1533" s="2" t="inlineStr">
        <is>
          <t>Honeywell zvonček</t>
        </is>
      </c>
      <c r="C1533" s="1" t="n">
        <v>27.99</v>
      </c>
      <c r="D1533" s="7" t="n">
        <f>HYPERLINK("https://www.somogyi.sk/product/honeywell-zvoncek-dcr313n-17300","https://www.somogyi.sk/product/honeywell-zvoncek-dcr313n-17300")</f>
        <v>0.0</v>
      </c>
      <c r="E1533" s="7" t="n">
        <f>HYPERLINK("https://www.somogyi.sk/productimages/product_main_images/small/17300.jpg","https://www.somogyi.sk/productimages/product_main_images/small/17300.jpg")</f>
        <v>0.0</v>
      </c>
      <c r="F1533" s="2" t="inlineStr">
        <is>
          <t>5004100965653</t>
        </is>
      </c>
      <c r="G1533" s="4" t="inlineStr">
        <is>
          <t xml:space="preserve"> • farba: biela/sivá 
 • bezdrôtový / s káblom: bezdrôtový 
 • Rf dosah na otvorenom teréne: max. 150 m 
 • prevádzková frekvencia: 868 MHz 
 • ochrana tlačidla voči vode: IP55 
 • regulovateľná hlasitosť: áno 
 • hlasitosť: max. 84 dB 
 • výber melódie: 6 melódií 
 • príslušenstvo: vnútorná jednotka, tlačidlo, CR2032 batéria 
 • napájanie: napájanie zvončeka: 3 x 1,5 V (AA) LR6 batéria, nie je príslušenstvom / napájanie tlačidla: 1 x 3 V (CR2032) batéria, je príslušenstvom 
 • rozmery: vnútorná jednotka: 110 x 70 x 40 mm / tlačidlo: 70 x 30 x 15 mm</t>
        </is>
      </c>
    </row>
    <row r="1534">
      <c r="A1534" s="3" t="inlineStr">
        <is>
          <t>DB 1601DC</t>
        </is>
      </c>
      <c r="B1534" s="2" t="inlineStr">
        <is>
          <t>Bezdrôtový zvonček, 160 m,  3 x AA</t>
        </is>
      </c>
      <c r="C1534" s="1" t="n">
        <v>14.99</v>
      </c>
      <c r="D1534" s="7" t="n">
        <f>HYPERLINK("https://www.somogyi.sk/product/bezdrotovy-zvoncek-160-m-3-x-aa-db-1601dc-18251","https://www.somogyi.sk/product/bezdrotovy-zvoncek-160-m-3-x-aa-db-1601dc-18251")</f>
        <v>0.0</v>
      </c>
      <c r="E1534" s="7" t="n">
        <f>HYPERLINK("https://www.somogyi.sk/productimages/product_main_images/small/18251.jpg","https://www.somogyi.sk/productimages/product_main_images/small/18251.jpg")</f>
        <v>0.0</v>
      </c>
      <c r="F1534" s="2" t="inlineStr">
        <is>
          <t>5999084962739</t>
        </is>
      </c>
      <c r="G1534" s="4" t="inlineStr">
        <is>
          <t xml:space="preserve"> • prevádzková frekvencia: 433,92 MHz 
 • ochrana tlačidla voči vode: IP44 
 • hlasitosť: 0 / 68-74 / 74-80 / 80-86 / 86-92 dB (at 30 cm) 
 • výber melódie: 60 melódií</t>
        </is>
      </c>
    </row>
    <row r="1535">
      <c r="A1535" s="3" t="inlineStr">
        <is>
          <t>DBP 01</t>
        </is>
      </c>
      <c r="B1535" s="2" t="inlineStr">
        <is>
          <t>Tlačidlo k bezdrôtovému zvončeku</t>
        </is>
      </c>
      <c r="C1535" s="1" t="n">
        <v>8.29</v>
      </c>
      <c r="D1535" s="7" t="n">
        <f>HYPERLINK("https://www.somogyi.sk/product/tlacidlo-k-bezdrotovemu-zvonceku-dbp-01-8472","https://www.somogyi.sk/product/tlacidlo-k-bezdrotovemu-zvonceku-dbp-01-8472")</f>
        <v>0.0</v>
      </c>
      <c r="E1535" s="7" t="n">
        <f>HYPERLINK("https://www.somogyi.sk/productimages/product_main_images/small/08472.jpg","https://www.somogyi.sk/productimages/product_main_images/small/08472.jpg")</f>
        <v>0.0</v>
      </c>
      <c r="F1535" s="2" t="inlineStr">
        <is>
          <t>5998312742433</t>
        </is>
      </c>
      <c r="G1535" s="4" t="inlineStr">
        <is>
          <t xml:space="preserve"> • bezdrôtový / s káblom: bezdrôtový 
 • Rf dosah na otvorenom teréne: cca. 200 m 
 • prevádzková frekvencia: 433,9 MHz 
 • individuálne kódované: áno 
 • ochrana tlačidla voči vode: IP44 
 • regulovateľná hlasitosť: nie 
 • zobrazenie stavu batérií: nie 
 • svetelná signalizácia: nie 
 • napájanie: CR2032 (príslušenstvo) 
 • rozmery: 33 x 85 x 25 mm</t>
        </is>
      </c>
    </row>
    <row r="1536">
      <c r="A1536" s="3" t="inlineStr">
        <is>
          <t>DB 0620DC</t>
        </is>
      </c>
      <c r="B1536" s="2" t="inlineStr">
        <is>
          <t>Bezdrôtový zvonček, 60 m</t>
        </is>
      </c>
      <c r="C1536" s="1" t="n">
        <v>9.49</v>
      </c>
      <c r="D1536" s="7" t="n">
        <f>HYPERLINK("https://www.somogyi.sk/product/bezdrotovy-zvoncek-60-m-db-0620dc-16957","https://www.somogyi.sk/product/bezdrotovy-zvoncek-60-m-db-0620dc-16957")</f>
        <v>0.0</v>
      </c>
      <c r="E1536" s="7" t="n">
        <f>HYPERLINK("https://www.somogyi.sk/productimages/product_main_images/small/16957.jpg","https://www.somogyi.sk/productimages/product_main_images/small/16957.jpg")</f>
        <v>0.0</v>
      </c>
      <c r="F1536" s="2" t="inlineStr">
        <is>
          <t>5999084949891</t>
        </is>
      </c>
      <c r="G1536" s="4" t="inlineStr">
        <is>
          <t xml:space="preserve"> • dosah na otvorenom teréne: cca. 60 m 
 • polyfónny, príjemný zvuk 
 • 32 rôznych melódií 
 • pri zvonení svetelná signalizácia pomocou červenej LED 
 • prevádzková frekvencia: 433,9 MHz 
 • napájanie: tlačidlo: 1 x 12 V (LR 23A) batéria, je príslušenstvom, zvončeka: 2 x 1,5 V (AA) batéria, nie je príslušenstvom 
 • rozmery : 70 x 105 x 26 mm</t>
        </is>
      </c>
    </row>
    <row r="1537">
      <c r="A1537" s="3" t="inlineStr">
        <is>
          <t>DB 1031AC</t>
        </is>
      </c>
      <c r="B1537" s="2" t="inlineStr">
        <is>
          <t>Bezdrôtový zvonček, 100 m, 230 V~</t>
        </is>
      </c>
      <c r="C1537" s="1" t="n">
        <v>15.49</v>
      </c>
      <c r="D1537" s="7" t="n">
        <f>HYPERLINK("https://www.somogyi.sk/product/bezdrotovy-zvoncek-100-m-230-v-db-1031ac-17078","https://www.somogyi.sk/product/bezdrotovy-zvoncek-100-m-230-v-db-1031ac-17078")</f>
        <v>0.0</v>
      </c>
      <c r="E1537" s="7" t="n">
        <f>HYPERLINK("https://www.somogyi.sk/productimages/product_main_images/small/17078.jpg","https://www.somogyi.sk/productimages/product_main_images/small/17078.jpg")</f>
        <v>0.0</v>
      </c>
      <c r="F1537" s="2" t="inlineStr">
        <is>
          <t>5999084951108</t>
        </is>
      </c>
      <c r="G1537" s="4" t="inlineStr">
        <is>
          <t xml:space="preserve"> • farba: biela farba 
 • bezdrôtový / s káblom: bezdrôtový 
 • Rf dosah na otvorenom teréne: ~100 m 
 • prevádzková frekvencia: 433,92 MHz 
 • individuálne kódované: áno 
 • ochrana tlačidla voči vode: IP44 
 • regulovateľná hlasitosť: 3 nastaviteľné stupne 
 • výber melódie: 36 melódií 
 • možnosť rozšírenia: dá sa používať až s 8 tlačidlami</t>
        </is>
      </c>
    </row>
    <row r="1538">
      <c r="A1538" s="6" t="inlineStr">
        <is>
          <t xml:space="preserve">   Bytové doplnky / Meteorologická stanica, teplomer</t>
        </is>
      </c>
      <c r="B1538" s="6" t="inlineStr">
        <is>
          <t/>
        </is>
      </c>
      <c r="C1538" s="6" t="inlineStr">
        <is>
          <t/>
        </is>
      </c>
      <c r="D1538" s="6" t="inlineStr">
        <is>
          <t/>
        </is>
      </c>
      <c r="E1538" s="6" t="inlineStr">
        <is>
          <t/>
        </is>
      </c>
      <c r="F1538" s="6" t="inlineStr">
        <is>
          <t/>
        </is>
      </c>
      <c r="G1538" s="6" t="inlineStr">
        <is>
          <t/>
        </is>
      </c>
    </row>
    <row r="1539">
      <c r="A1539" s="3" t="inlineStr">
        <is>
          <t>HC 11</t>
        </is>
      </c>
      <c r="B1539" s="2" t="inlineStr">
        <is>
          <t>Bezdrôtový vonkajší-vnútorný teplomer s budíkom</t>
        </is>
      </c>
      <c r="C1539" s="1" t="n">
        <v>21.99</v>
      </c>
      <c r="D1539" s="7" t="n">
        <f>HYPERLINK("https://www.somogyi.sk/product/bezdrotovy-vonkajsi-vnutorny-teplomer-s-budikom-hc-11-12201","https://www.somogyi.sk/product/bezdrotovy-vonkajsi-vnutorny-teplomer-s-budikom-hc-11-12201")</f>
        <v>0.0</v>
      </c>
      <c r="E1539" s="7" t="n">
        <f>HYPERLINK("https://www.somogyi.sk/productimages/product_main_images/small/12201.jpg","https://www.somogyi.sk/productimages/product_main_images/small/12201.jpg")</f>
        <v>0.0</v>
      </c>
      <c r="F1539" s="2" t="inlineStr">
        <is>
          <t>5999084903831</t>
        </is>
      </c>
      <c r="G1539" s="4" t="inlineStr">
        <is>
          <t xml:space="preserve"> • dotykový displej: nie 
 • osvetlenie pozadia: nie 
 • barometer: nie 
 • hodiny riadené rádiovým signálom DCF77: nie 
 • časové pásmo: nie 
 • zobrazenie času 12/24 h: áno 
 • opakované budenie: 1 
 • frekvencia vonk. jednotky / dosah: 433,92 MHz / max. 60 m 
 • maximálny počet vonkajších jednotiek: 1 ks 
 • príslušenstvo vonkajšia jednotka: 1 
 • zobrazenie vonkajšej teploty: -20°C - +60°C 
 • zobrazenie vonkajšej vlhkosti vzduchu: nie 
 • zobrazenie vnútornej teploty: -9°C - +50°C 
 • zobrazenie vnútornej vlhkosti vzduchu: nie 
 • zobrazenie maximálnej a minimálnej hodnoty: áno 
 • napájanie vonkajšej jednotky: 2 x (AAA) batéria (nie je príslušenstvo) 
 • napájanie vnútornej jednotky: 2 x (AAA) batéria (nie je príslušenstvo) 
 • rozmery vonkajšej jednotky: 6 x 9,5 x 2,5 cm 
 • rozmery vnútornej jednotky: 7,5 x 12, 5 x 2 cm 
 • rozmer displeja vnútornej jednotky: 4,1 x 5,3 cm</t>
        </is>
      </c>
    </row>
    <row r="1540">
      <c r="A1540" s="3" t="inlineStr">
        <is>
          <t>HC 12</t>
        </is>
      </c>
      <c r="B1540" s="2" t="inlineStr">
        <is>
          <t>Vonkajší-vnútorný teplomer po drôte s hodinami</t>
        </is>
      </c>
      <c r="C1540" s="1" t="n">
        <v>11.99</v>
      </c>
      <c r="D1540" s="7" t="n">
        <f>HYPERLINK("https://www.somogyi.sk/product/vonkajsi-vnutorny-teplomer-po-drote-s-hodinami-hc-12-12202","https://www.somogyi.sk/product/vonkajsi-vnutorny-teplomer-po-drote-s-hodinami-hc-12-12202")</f>
        <v>0.0</v>
      </c>
      <c r="E1540" s="7" t="n">
        <f>HYPERLINK("https://www.somogyi.sk/productimages/product_main_images/small/12202.jpg","https://www.somogyi.sk/productimages/product_main_images/small/12202.jpg")</f>
        <v>0.0</v>
      </c>
      <c r="F1540" s="2" t="inlineStr">
        <is>
          <t>5999084903848</t>
        </is>
      </c>
      <c r="G1540" s="4" t="inlineStr">
        <is>
          <t xml:space="preserve"> • dotykový displej: nie 
 • osvetlenie pozadia: nie 
 • barometer: nie 
 • hodiny riadené rádiovým signálom DCF77: nie 
 • časové pásmo: nie 
 • zobrazenie času 12/24 h: áno 
 • opakované budenie: - 
 • frekvencia vonk. jednotky / dosah: - 
 • maximálny počet vonkajších jednotiek: - 
 • príslušenstvo vonkajšia jednotka: sonda s káblom 
 • zobrazenie vonkajšej teploty: -50°C - +70°C 
 • zobrazenie vonkajšej vlhkosti vzduchu: nie 
 • zobrazenie vnútornej teploty: -9°C - +50°C 
 • zobrazenie vnútornej vlhkosti vzduchu: nie 
 • zobrazenie maximálnej a minimálnej hodnoty: áno 
 • napájanie vonkajšej jednotky: - 
 • napájanie vnútornej jednotky: 2 x (AAA) batéria (nie je príslušenstvo) 
 • rozmery vonkajšej jednotky: - 
 • rozmery vnútornej jednotky: 7 x 12 x 2 cm 
 • rozmer displeja vnútornej jednotky: 4,1 x 5,3 cm</t>
        </is>
      </c>
    </row>
    <row r="1541">
      <c r="A1541" s="3" t="inlineStr">
        <is>
          <t>HC 13</t>
        </is>
      </c>
      <c r="B1541" s="2" t="inlineStr">
        <is>
          <t>Teplo- a vlhkomer s budíkom</t>
        </is>
      </c>
      <c r="C1541" s="1" t="n">
        <v>11.99</v>
      </c>
      <c r="D1541" s="7" t="n">
        <f>HYPERLINK("https://www.somogyi.sk/product/teplo-a-vlhkomer-s-budikom-hc-13-12203","https://www.somogyi.sk/product/teplo-a-vlhkomer-s-budikom-hc-13-12203")</f>
        <v>0.0</v>
      </c>
      <c r="E1541" s="7" t="n">
        <f>HYPERLINK("https://www.somogyi.sk/productimages/product_main_images/small/12203.jpg","https://www.somogyi.sk/productimages/product_main_images/small/12203.jpg")</f>
        <v>0.0</v>
      </c>
      <c r="F1541" s="2" t="inlineStr">
        <is>
          <t>5999084903855</t>
        </is>
      </c>
      <c r="G1541" s="4" t="inlineStr">
        <is>
          <t xml:space="preserve"> • dotykový displej: nie 
 • osvetlenie pozadia: nie 
 • barometer: nie 
 • hodiny riadené rádiovým signálom DCF77: nie 
 • časové pásmo: nie 
 • zobrazenie času 12/24 h: áno 
 • opakované budenie: 1 
 • frekvencia vonk. jednotky / dosah: - 
 • maximálny počet vonkajších jednotiek: - 
 • príslušenstvo vonkajšia jednotka: - 
 • zobrazenie vonkajšej teploty: - 
 • zobrazenie vonkajšej vlhkosti vzduchu: nie 
 • zobrazenie vnútornej teploty: áno 
 • zobrazenie vnútornej vlhkosti vzduchu: áno 
 • zobrazenie maximálnej a minimálnej hodnoty: áno 
 • napájanie vonkajšej jednotky: - 
 • napájanie vnútornej jednotky: 2 x (AAA) batéria (nie je príslušenstvo) 
 • rozmery vonkajšej jednotky: - 
 • rozmery vnútornej jednotky: 7,3 x 12,3 x 2,2 cm 
 • rozmer displeja vnútornej jednotky: 4,1 x 5,3 cm</t>
        </is>
      </c>
    </row>
    <row r="1542">
      <c r="A1542" s="3" t="inlineStr">
        <is>
          <t>HCKK 08</t>
        </is>
      </c>
      <c r="B1542" s="2" t="inlineStr">
        <is>
          <t>Vonkajšia jednotka (thermo/hygro) k HCW 25</t>
        </is>
      </c>
      <c r="C1542" s="1" t="n">
        <v>8.29</v>
      </c>
      <c r="D1542" s="7" t="n">
        <f>HYPERLINK("https://www.somogyi.sk/product/vonkajsia-jednotka-thermo-hygro-k-hcw-25-hckk-08-16309","https://www.somogyi.sk/product/vonkajsia-jednotka-thermo-hygro-k-hcw-25-hckk-08-16309")</f>
        <v>0.0</v>
      </c>
      <c r="E1542" s="7" t="n">
        <f>HYPERLINK("https://www.somogyi.sk/productimages/product_main_images/small/16309.jpg","https://www.somogyi.sk/productimages/product_main_images/small/16309.jpg")</f>
        <v>0.0</v>
      </c>
      <c r="F1542" s="2" t="inlineStr">
        <is>
          <t>5999084943417</t>
        </is>
      </c>
      <c r="G1542" s="4" t="inlineStr">
        <is>
          <t xml:space="preserve"> • frekvencia vonk. jednotky / dosah: 433,92 MHz / 60 m 
 • zobrazenie vonkajšej teploty: áno 
 • zobrazenie vonkajšej vlhkosti vzduchu: áno 
 • napájanie vonkajšej jednotky: 2 x (AAA) batéria (nie je príslušenstvom) 
 • rozmery vonkajšej jednotky: N48 x 82 x 26 mm</t>
        </is>
      </c>
    </row>
    <row r="1543">
      <c r="A1543" s="3" t="inlineStr">
        <is>
          <t>HCKK 09</t>
        </is>
      </c>
      <c r="B1543" s="2" t="inlineStr">
        <is>
          <t>Vonkajšia jednotka k HCW 28</t>
        </is>
      </c>
      <c r="C1543" s="1" t="n">
        <v>8.29</v>
      </c>
      <c r="D1543" s="7" t="n">
        <f>HYPERLINK("https://www.somogyi.sk/product/vonkajsia-jednotka-k-hcw-28-hckk-09-16920","https://www.somogyi.sk/product/vonkajsia-jednotka-k-hcw-28-hckk-09-16920")</f>
        <v>0.0</v>
      </c>
      <c r="E1543" s="7" t="n">
        <f>HYPERLINK("https://www.somogyi.sk/productimages/product_main_images/small/16920.jpg","https://www.somogyi.sk/productimages/product_main_images/small/16920.jpg")</f>
        <v>0.0</v>
      </c>
      <c r="F1543" s="2" t="inlineStr">
        <is>
          <t>5999084949525</t>
        </is>
      </c>
      <c r="G1543" s="4" t="inlineStr">
        <is>
          <t xml:space="preserve"> • frekvencia vonk. jednotky / dosah: 433,92 MHz / 60 m 
 • zobrazenie vonkajšej teploty: áno 
 • zobrazenie vonkajšej vlhkosti vzduchu: áno 
 • napájanie vonkajšej jednotky: 2 x (AAA) batéria (nie je príslušenstvom) 
 • rozmery vonkajšej jednotky: 60 x 96 x 26 (50) mm 
 • umiestnenie: možnosť zavesiť alebo položiť na stôl</t>
        </is>
      </c>
    </row>
    <row r="1544">
      <c r="A1544" s="3" t="inlineStr">
        <is>
          <t>HCW 25</t>
        </is>
      </c>
      <c r="B1544" s="2" t="inlineStr">
        <is>
          <t>Meteostanica s vonkajším senzorom</t>
        </is>
      </c>
      <c r="C1544" s="1" t="n">
        <v>62.99</v>
      </c>
      <c r="D1544" s="7" t="n">
        <f>HYPERLINK("https://www.somogyi.sk/product/meteostanica-s-vonkajsim-senzorom-hcw-25-16264","https://www.somogyi.sk/product/meteostanica-s-vonkajsim-senzorom-hcw-25-16264")</f>
        <v>0.0</v>
      </c>
      <c r="E1544" s="7" t="n">
        <f>HYPERLINK("https://www.somogyi.sk/productimages/product_main_images/small/16264.jpg","https://www.somogyi.sk/productimages/product_main_images/small/16264.jpg")</f>
        <v>0.0</v>
      </c>
      <c r="F1544" s="2" t="inlineStr">
        <is>
          <t>5999084942960</t>
        </is>
      </c>
      <c r="G1544" s="4" t="inlineStr">
        <is>
          <t xml:space="preserve"> • zobrazenie času 12/24 h: áno 
 • opakované budenie: 2 (opakované budenie 3 – 20 min) 
 • frekvencia vonk. jednotky / dosah: 433,92MHz / 60 m 
 • maximálny počet vonkajších jednotiek: 3 ks 
 • príslušenstvo vonkajšia jednotka: 1 
 • zobrazenie vonkajšej teploty: áno 
 • zobrazenie vonkajšej vlhkosti vzduchu: áno 
 • zobrazenie vnútornej teploty: áno 
 • zobrazenie vnútornej vlhkosti vzduchu: áno 
 • napájanie vonkajšej jednotky: 2 x AAA batéria (nie je príslušenstvom) 
 • napájanie vnútornej jednotky: 230 V~ (adaptér) alebo 3 x AAA batéria (nie je príslušenstvom) 
 • rozmery vnútornej jednotky: 210 x 138 x 22 (60) mm</t>
        </is>
      </c>
    </row>
    <row r="1545">
      <c r="A1545" s="3" t="inlineStr">
        <is>
          <t>HCW 01</t>
        </is>
      </c>
      <c r="B1545" s="2" t="inlineStr">
        <is>
          <t>Meteostanica s vonkajšou jednotkou</t>
        </is>
      </c>
      <c r="C1545" s="1" t="n">
        <v>28.99</v>
      </c>
      <c r="D1545" s="7" t="n">
        <f>HYPERLINK("https://www.somogyi.sk/product/meteostanica-s-vonkajsou-jednotkou-hcw-01-17547","https://www.somogyi.sk/product/meteostanica-s-vonkajsou-jednotkou-hcw-01-17547")</f>
        <v>0.0</v>
      </c>
      <c r="E1545" s="7" t="n">
        <f>HYPERLINK("https://www.somogyi.sk/productimages/product_main_images/small/17547.jpg","https://www.somogyi.sk/productimages/product_main_images/small/17547.jpg")</f>
        <v>0.0</v>
      </c>
      <c r="F1545" s="2" t="inlineStr">
        <is>
          <t>5999084955694</t>
        </is>
      </c>
      <c r="G1545" s="4" t="inlineStr">
        <is>
          <t xml:space="preserve"> • zobrazenie času 12/24 h: áno 
 • opakované budenie: 1 (snooze: 5-60 min.) 
 • frekvencia vonk. jednotky / dosah: 433,92 MHz signalizátor vonkajšej teploty a vlhkosti / 60 m dosah na otvorenom teréne 
 • maximálny počet vonkajších jednotiek: 3 ks 
 • príslušenstvo vonkajšia jednotka: 1 ks (HCKK 10) 
 • zobrazenie vonkajšej teploty: -40 –  60 °C / 0,1 °C 
 • zobrazenie vonkajšej vlhkosti vzduchu: 20 – 95 % RH 
 • zobrazenie vnútornej teploty: -10 –  50 °C / 0,1 °C 
 • zobrazenie vnútornej vlhkosti vzduchu: 1 – 99 % RH 
 • zobrazenie maximálnej a minimálnej hodnoty: áno 
 • napájanie vonkajšej jednotky: 2 x 1,5 V (AA) batéria (nie je príslušenstvom) 
 • napájanie vnútornej jednotky: 2 x 1,5 V (AAA) batéria (nie je príslušenstvom) 
 • rozmery vonkajšej jednotky: 38 x 100 x 22 mm 
 • umiestnenie: stojanový, nástenný 
 • rozmery vnútornej jednotky: 76 x 128 x 21 (56) mm 
 • rozmer displeja vnútornej jednotky: 50 x 80 mm</t>
        </is>
      </c>
    </row>
    <row r="1546">
      <c r="A1546" s="3" t="inlineStr">
        <is>
          <t>HC 16</t>
        </is>
      </c>
      <c r="B1546" s="2" t="inlineStr">
        <is>
          <t>Teplo- a vlhkomer s hodinami</t>
        </is>
      </c>
      <c r="C1546" s="1" t="n">
        <v>11.49</v>
      </c>
      <c r="D1546" s="7" t="n">
        <f>HYPERLINK("https://www.somogyi.sk/product/teplo-a-vlhkomer-s-hodinami-hc-16-17562","https://www.somogyi.sk/product/teplo-a-vlhkomer-s-hodinami-hc-16-17562")</f>
        <v>0.0</v>
      </c>
      <c r="E1546" s="7" t="n">
        <f>HYPERLINK("https://www.somogyi.sk/productimages/product_main_images/small/17562.jpg","https://www.somogyi.sk/productimages/product_main_images/small/17562.jpg")</f>
        <v>0.0</v>
      </c>
      <c r="F1546" s="2" t="inlineStr">
        <is>
          <t>5999084955847</t>
        </is>
      </c>
      <c r="G1546" s="4" t="inlineStr">
        <is>
          <t xml:space="preserve"> • dotykový displej: nie 
 • barometer: nie 
 • zobrazenie času 12/24 h: áno 
 • zobrazenie vnútornej teploty: -10 -  50 °C 
 • zobrazenie vnútornej vlhkosti vzduchu: RH 17% - 99% 
 • zobrazenie maximálnej a minimálnej hodnoty: áno 
 • umiestnenie: stojanový, nástenný 
 • napájanie: 2 x 1,5 V (AAA) batéria (nie je príslušenstvom) 
 • rozmery vnútornej jednotky: 92 x 80 x 25,5 mm 
 • rozmer displeja vnútornej jednotky: 62 x 53 mm</t>
        </is>
      </c>
    </row>
    <row r="1547">
      <c r="A1547" s="3" t="inlineStr">
        <is>
          <t>HCKK 04</t>
        </is>
      </c>
      <c r="B1547" s="2" t="inlineStr">
        <is>
          <t>Vonkajšia jednotka k meteorologickej stanici HCW 21</t>
        </is>
      </c>
      <c r="C1547" s="1" t="n">
        <v>8.29</v>
      </c>
      <c r="D1547" s="7" t="n">
        <f>HYPERLINK("https://www.somogyi.sk/product/vonkajsia-jednotka-k-meteorologickej-stanici-hcw-21-hckk-04-12025","https://www.somogyi.sk/product/vonkajsia-jednotka-k-meteorologickej-stanici-hcw-21-hckk-04-12025")</f>
        <v>0.0</v>
      </c>
      <c r="E1547" s="7" t="n">
        <f>HYPERLINK("https://www.somogyi.sk/productimages/product_main_images/small/12025.jpg","https://www.somogyi.sk/productimages/product_main_images/small/12025.jpg")</f>
        <v>0.0</v>
      </c>
      <c r="F1547" s="2" t="inlineStr">
        <is>
          <t>5999084902377</t>
        </is>
      </c>
      <c r="G1547" s="4" t="inlineStr">
        <is>
          <t xml:space="preserve"> • dotykový displej: nie 
 • osvetlenie pozadia: nie 
 • barometer: nie 
 • hodiny riadené rádiovým signálom DCF77: nie 
 • časové pásmo: nie 
 • zobrazenie času 12/24 h: nie 
 • opakované budenie: - 
 • frekvencia vonk. jednotky / dosah: 433,92 MHz 
 • maximálny počet vonkajších jednotiek: - 
 • príslušenstvo vonkajšia jednotka: - 
 • zobrazenie vonkajšej teploty: áno 
 • zobrazenie vonkajšej vlhkosti vzduchu: áno 
 • zobrazenie vnútornej teploty: nie 
 • zobrazenie vnútornej vlhkosti vzduchu: nie 
 • zobrazenie maximálnej a minimálnej hodnoty: nie 
 • napájanie vonkajšej jednotky: 2 x (AAA) batéria (nie je príslušenstvo) 
 • napájanie vnútornej jednotky: - 
 • rozmery vonkajšej jednotky: 6 x 9,5 x 2,5 cm 
 • rozmery vnútornej jednotky: - 
 • rozmer displeja vnútornej jednotky: -</t>
        </is>
      </c>
    </row>
    <row r="1548">
      <c r="A1548" s="3" t="inlineStr">
        <is>
          <t>HCKK 10</t>
        </is>
      </c>
      <c r="B1548" s="2" t="inlineStr">
        <is>
          <t>Vonkajšia jednotka k HCW 01</t>
        </is>
      </c>
      <c r="C1548" s="1" t="n">
        <v>8.29</v>
      </c>
      <c r="D1548" s="7" t="n">
        <f>HYPERLINK("https://www.somogyi.sk/product/vonkajsia-jednotka-k-hcw-01-hckk-10-17546","https://www.somogyi.sk/product/vonkajsia-jednotka-k-hcw-01-hckk-10-17546")</f>
        <v>0.0</v>
      </c>
      <c r="E1548" s="7" t="n">
        <f>HYPERLINK("https://www.somogyi.sk/productimages/product_main_images/small/17546.jpg","https://www.somogyi.sk/productimages/product_main_images/small/17546.jpg")</f>
        <v>0.0</v>
      </c>
      <c r="F1548" s="2" t="inlineStr">
        <is>
          <t>5999084955687</t>
        </is>
      </c>
      <c r="G1548" s="4" t="inlineStr">
        <is>
          <t xml:space="preserve"> • frekvencia vonk. jednotky / dosah: 433,92 MHz / max. 60 m 
 • rozmery vonkajšej jednotky: 3,8 x 10 x 2,2 cm 
 • napájanie: 2 x 1,5 V (AA) batéria, nie je príslušenstvom</t>
        </is>
      </c>
    </row>
    <row r="1549">
      <c r="A1549" s="6" t="inlineStr">
        <is>
          <t xml:space="preserve">   Bytové doplnky / Hodiny</t>
        </is>
      </c>
      <c r="B1549" s="6" t="inlineStr">
        <is>
          <t/>
        </is>
      </c>
      <c r="C1549" s="6" t="inlineStr">
        <is>
          <t/>
        </is>
      </c>
      <c r="D1549" s="6" t="inlineStr">
        <is>
          <t/>
        </is>
      </c>
      <c r="E1549" s="6" t="inlineStr">
        <is>
          <t/>
        </is>
      </c>
      <c r="F1549" s="6" t="inlineStr">
        <is>
          <t/>
        </is>
      </c>
      <c r="G1549" s="6" t="inlineStr">
        <is>
          <t/>
        </is>
      </c>
    </row>
    <row r="1550">
      <c r="A1550" s="3" t="inlineStr">
        <is>
          <t>OC 04</t>
        </is>
      </c>
      <c r="B1550" s="2" t="inlineStr">
        <is>
          <t>Digitálny budík s LED displejom, čierna</t>
        </is>
      </c>
      <c r="C1550" s="1" t="n">
        <v>30.99</v>
      </c>
      <c r="D1550" s="7" t="n">
        <f>HYPERLINK("https://www.somogyi.sk/product/digitalny-budik-s-led-displejom-cierna-oc-04-15737","https://www.somogyi.sk/product/digitalny-budik-s-led-displejom-cierna-oc-04-15737")</f>
        <v>0.0</v>
      </c>
      <c r="E1550" s="7" t="n">
        <f>HYPERLINK("https://www.somogyi.sk/productimages/product_main_images/small/15737.jpg","https://www.somogyi.sk/productimages/product_main_images/small/15737.jpg")</f>
        <v>0.0</v>
      </c>
      <c r="F1550" s="2" t="inlineStr">
        <is>
          <t>5999084937713</t>
        </is>
      </c>
      <c r="G1550" s="4" t="inlineStr">
        <is>
          <t xml:space="preserve"> • materiál: drevo 
 • zobrazenie času 12/24 h: áno 
 • budenie: áno 
 • časová pamäť: áno (CR 2032, je príslušenstvom) 
 • zobrazenie vnútornej teploty: áno 
 • ostatné funkcie: individuálne nastavenie zobrazenia / možnosť vypnúť displej, ktorý môžete aktivovať tlesknutím alebo klopaním vedľa budíka 
 • rozmery: 150 x 70 x 55 mm 
 • napájanie: sieťový adaptér (je príslušenstvom) / 3 x AAA batéria (nie je príslušenstvom) 
 • hmotnosť: 195 g</t>
        </is>
      </c>
    </row>
    <row r="1551">
      <c r="A1551" s="3" t="inlineStr">
        <is>
          <t>OC 05</t>
        </is>
      </c>
      <c r="B1551" s="2" t="inlineStr">
        <is>
          <t>Digitálny budík s LED displejom, hnedá</t>
        </is>
      </c>
      <c r="C1551" s="1" t="n">
        <v>32.99</v>
      </c>
      <c r="D1551" s="7" t="n">
        <f>HYPERLINK("https://www.somogyi.sk/product/digitalny-budik-s-led-displejom-hneda-oc-05-15738","https://www.somogyi.sk/product/digitalny-budik-s-led-displejom-hneda-oc-05-15738")</f>
        <v>0.0</v>
      </c>
      <c r="E1551" s="7" t="n">
        <f>HYPERLINK("https://www.somogyi.sk/productimages/product_main_images/small/15738.jpg","https://www.somogyi.sk/productimages/product_main_images/small/15738.jpg")</f>
        <v>0.0</v>
      </c>
      <c r="F1551" s="2" t="inlineStr">
        <is>
          <t>5999084937720</t>
        </is>
      </c>
      <c r="G1551" s="4" t="inlineStr">
        <is>
          <t xml:space="preserve"> • materiál: drevo 
 • zobrazenie času 12/24 h: áno 
 • budenie: áno 
 • časová pamäť: áno (CR 2032, je príslušenstvom) 
 • zobrazenie vnútornej teploty: áno 
 • ostatné funkcie: individuálne nastavenie zobrazenia / možnosť vypnúť displej, ktorý môžete aktivovať tlesknutím alebo klopaním vedľa budíka 
 • rozmery: 150 x 80 x 90 mm 
 • napájanie: sieťový adaptér (je príslušenstvom) / 3 x AAA batéria (nie je príslušenstvom) 
 • hmotnosť: 230 g</t>
        </is>
      </c>
    </row>
    <row r="1552">
      <c r="A1552" s="3" t="inlineStr">
        <is>
          <t>LTC 03</t>
        </is>
      </c>
      <c r="B1552" s="2" t="inlineStr">
        <is>
          <t>Digitálny LED budík</t>
        </is>
      </c>
      <c r="C1552" s="1" t="n">
        <v>23.99</v>
      </c>
      <c r="D1552" s="7" t="n">
        <f>HYPERLINK("https://www.somogyi.sk/product/digitalny-led-budik-ltc-03-15897","https://www.somogyi.sk/product/digitalny-led-budik-ltc-03-15897")</f>
        <v>0.0</v>
      </c>
      <c r="E1552" s="7" t="n">
        <f>HYPERLINK("https://www.somogyi.sk/productimages/product_main_images/small/15897.jpg","https://www.somogyi.sk/productimages/product_main_images/small/15897.jpg")</f>
        <v>0.0</v>
      </c>
      <c r="F1552" s="2" t="inlineStr">
        <is>
          <t>5999084939311</t>
        </is>
      </c>
      <c r="G1552" s="4" t="inlineStr">
        <is>
          <t xml:space="preserve"> • materiál: plast 
 • možnosť umiestnenia na stôl: áno 
 • zobrazenie času 12/24 h: 24 h 
 • časová pamäť: pamäť pre hodiny v prípade výpadku elektriny s 9 V (6LR61) batériou, nie je príslušenstvom 
 • rozmer displeja: 0,6” / 15 mm výška zobrazenia hodín / jantárovo žltý LED displej 
 • ostatné funkcie: LED kontrolka aktívneho budenia 
 • rozmery: 115 x 45 x 95 mm 
 • napájanie: 230 V~ / 50 Hz 
 • hmotnosť: 240 g</t>
        </is>
      </c>
    </row>
    <row r="1553">
      <c r="A1553" s="3" t="inlineStr">
        <is>
          <t>LTCR 02</t>
        </is>
      </c>
      <c r="B1553" s="2" t="inlineStr">
        <is>
          <t>Digitálny LED budík s rádiom</t>
        </is>
      </c>
      <c r="C1553" s="1" t="n">
        <v>31.99</v>
      </c>
      <c r="D1553" s="7" t="n">
        <f>HYPERLINK("https://www.somogyi.sk/product/digitalny-led-budik-s-radiom-ltcr-02-15899","https://www.somogyi.sk/product/digitalny-led-budik-s-radiom-ltcr-02-15899")</f>
        <v>0.0</v>
      </c>
      <c r="E1553" s="7" t="n">
        <f>HYPERLINK("https://www.somogyi.sk/productimages/product_main_images/small/15899.jpg","https://www.somogyi.sk/productimages/product_main_images/small/15899.jpg")</f>
        <v>0.0</v>
      </c>
      <c r="F1553" s="2" t="inlineStr">
        <is>
          <t>5999084939335</t>
        </is>
      </c>
      <c r="G1553" s="4" t="inlineStr">
        <is>
          <t xml:space="preserve"> • materiál: plast 
 • rádio: pamäť pre 10 FM rozhlasových staníc 
 • možnosť umiestnenia na stôl: áno 
 •  
 • časová pamäť: pamäť pre hodiny v prípade výpadku elektriny s 2 x 1,5 V (AAA) batériou, nie je príslušenstvom 
 • rozmer displeja: 1,2” / 30 mm výška zobrazenia hodín / jantárovo žltý veľký LED displej 
 • rozmery: 170 x 60 x 120 mm 
 • napájanie: 230 V~ / 50 Hz 
 • hmotnosť: 340 g</t>
        </is>
      </c>
    </row>
    <row r="1554">
      <c r="A1554" s="3" t="inlineStr">
        <is>
          <t>OC 07</t>
        </is>
      </c>
      <c r="B1554" s="2" t="inlineStr">
        <is>
          <t>Digitálny LED budík, biele drevo</t>
        </is>
      </c>
      <c r="C1554" s="1" t="n">
        <v>30.99</v>
      </c>
      <c r="D1554" s="7" t="n">
        <f>HYPERLINK("https://www.somogyi.sk/product/digitalny-led-budik-biele-drevo-oc-07-17036","https://www.somogyi.sk/product/digitalny-led-budik-biele-drevo-oc-07-17036")</f>
        <v>0.0</v>
      </c>
      <c r="E1554" s="7" t="n">
        <f>HYPERLINK("https://www.somogyi.sk/productimages/product_main_images/small/17036.jpg","https://www.somogyi.sk/productimages/product_main_images/small/17036.jpg")</f>
        <v>0.0</v>
      </c>
      <c r="F1554" s="2" t="inlineStr">
        <is>
          <t>5999084950682</t>
        </is>
      </c>
      <c r="G1554" s="4" t="inlineStr">
        <is>
          <t xml:space="preserve"> • materiál: drevo 
 • zobrazenie času 12/24 h: áno 
 • budenie: áno 
 • časová pamäť: áno (CR 2032 je príslušenstvom) 
 • zobrazenie vnútornej teploty: 0…50 °C 
 • rozmer displeja: 120 x 22 mm 
 • rozmery: 150 x 80 x 90 mm 
 • hmotnosť: 230 g</t>
        </is>
      </c>
    </row>
    <row r="1555">
      <c r="A1555" s="3" t="inlineStr">
        <is>
          <t>LTC 04</t>
        </is>
      </c>
      <c r="B1555" s="2" t="inlineStr">
        <is>
          <t>Digitálny, 3D LED budík</t>
        </is>
      </c>
      <c r="C1555" s="1" t="n">
        <v>28.99</v>
      </c>
      <c r="D1555" s="7" t="n">
        <f>HYPERLINK("https://www.somogyi.sk/product/digitalny-3d-led-budik-ltc-04-15917","https://www.somogyi.sk/product/digitalny-3d-led-budik-ltc-04-15917")</f>
        <v>0.0</v>
      </c>
      <c r="E1555" s="7" t="n">
        <f>HYPERLINK("https://www.somogyi.sk/productimages/product_main_images/small/15917.jpg","https://www.somogyi.sk/productimages/product_main_images/small/15917.jpg")</f>
        <v>0.0</v>
      </c>
      <c r="F1555" s="2" t="inlineStr">
        <is>
          <t>5999084939519</t>
        </is>
      </c>
      <c r="G1555" s="4" t="inlineStr">
        <is>
          <t xml:space="preserve"> • materiál: plast 
 • možnosť zavesenia na stenu: áno 
 • možnosť umiestnenia na stôl: áno 
 • zobrazenie času 12/24 h: áno 
 • časová pamäť: pamäť v prípade výpadku napájania, CR2032 (3 V) gombíková batéria (je príslušenstvom) 
 • rozmer displeja: 3,14” / 80 mm vysoký biely 3D LED displej 
 • rozmery: 235 x 100 x 25 mm 
 • hmotnosť: 180 g</t>
        </is>
      </c>
    </row>
    <row r="1556">
      <c r="A1556" s="3" t="inlineStr">
        <is>
          <t>LTCP 01</t>
        </is>
      </c>
      <c r="B1556" s="2" t="inlineStr">
        <is>
          <t>Digitálny LED budík s projektorom</t>
        </is>
      </c>
      <c r="C1556" s="1" t="n">
        <v>36.99</v>
      </c>
      <c r="D1556" s="7" t="n">
        <f>HYPERLINK("https://www.somogyi.sk/product/digitalny-led-budik-s-projektorom-ltcp-01-15898","https://www.somogyi.sk/product/digitalny-led-budik-s-projektorom-ltcp-01-15898")</f>
        <v>0.0</v>
      </c>
      <c r="E1556" s="7" t="n">
        <f>HYPERLINK("https://www.somogyi.sk/productimages/product_main_images/small/15898.jpg","https://www.somogyi.sk/productimages/product_main_images/small/15898.jpg")</f>
        <v>0.0</v>
      </c>
      <c r="F1556" s="2" t="inlineStr">
        <is>
          <t>5999084939328</t>
        </is>
      </c>
      <c r="G1556" s="4" t="inlineStr">
        <is>
          <t xml:space="preserve"> • materiál: plast 
 • možnosť umiestnenia na stôl: áno 
 • zobrazenie času 12/24 h: 24 h 
 • časová pamäť: pamäť pre hodiny v prípade výpadku elektriny s 2 x 1,5 V (AAA)  batériou, nie je príslušenstvom 
 • rozmer displeja: 1,8” / 46 mm výška zobrazenia času / červený JUMBO LED displej 
 • ostatné funkcie: prehľadné, užívateľsky prívetivé ovládanie / 2 časy budíka v rámci jedného dňa / LED indikácia aktivovaného budíka / funkcia opakovania budíka po 8 minútach / prevod letného/zimného času jedným tlačidlom 
 • rozmery: 202 x 90 x 52 mm 
 • napájanie: 230 V~ / 50 Hz 
 • hmotnosť: 370 g</t>
        </is>
      </c>
    </row>
    <row r="1557">
      <c r="A1557" s="3" t="inlineStr">
        <is>
          <t>LTC 02</t>
        </is>
      </c>
      <c r="B1557" s="2" t="inlineStr">
        <is>
          <t>Digitálny budík</t>
        </is>
      </c>
      <c r="C1557" s="1" t="n">
        <v>28.99</v>
      </c>
      <c r="D1557" s="7" t="n">
        <f>HYPERLINK("https://www.somogyi.sk/product/digitalny-budik-ltc-02-9623","https://www.somogyi.sk/product/digitalny-budik-ltc-02-9623")</f>
        <v>0.0</v>
      </c>
      <c r="E1557" s="7" t="n">
        <f>HYPERLINK("https://www.somogyi.sk/productimages/product_main_images/small/09623.jpg","https://www.somogyi.sk/productimages/product_main_images/small/09623.jpg")</f>
        <v>0.0</v>
      </c>
      <c r="F1557" s="2" t="inlineStr">
        <is>
          <t>5998312783696</t>
        </is>
      </c>
      <c r="G1557" s="4" t="inlineStr">
        <is>
          <t xml:space="preserve"> • materiál: plast 
 • rádio: - 
 • možnosť zavesenia na stenu: nie 
 • možnosť umiestnenia na stôl: nie 
 • hodiny riadené rádiovým signálom DCF77: nie 
 • časové pásmo: nie 
 • zobrazenie času 12/24 h: 24 h 
 • budenie: pípanie (oneskorené budenie) 
 • časová pamäť: s batériou (6LR61)  (nie je príslušenstvo) 
 • príslušenstvo vonkajšia jednotka: nie 
 • zobrazenie vnútornej teploty: nie 
 • vlhkosť vzduchu: nie 
 • funkcia projektor: nie 
 • rozmer displeja: LED  1,8" 
 • rozmery: 210 x 85 x 85 mm 
 • napájanie: 230 V~  / 50 Hz</t>
        </is>
      </c>
    </row>
    <row r="1558">
      <c r="A1558" s="3" t="inlineStr">
        <is>
          <t>LTC 05</t>
        </is>
      </c>
      <c r="B1558" s="2" t="inlineStr">
        <is>
          <t>Digitálny LED budík, 3D, biela</t>
        </is>
      </c>
      <c r="C1558" s="1" t="n">
        <v>41.99</v>
      </c>
      <c r="D1558" s="7" t="n">
        <f>HYPERLINK("https://www.somogyi.sk/product/digitalny-led-budik-3d-biela-ltc-05-17285","https://www.somogyi.sk/product/digitalny-led-budik-3d-biela-ltc-05-17285")</f>
        <v>0.0</v>
      </c>
      <c r="E1558" s="7" t="n">
        <f>HYPERLINK("https://www.somogyi.sk/productimages/product_main_images/small/17285.jpg","https://www.somogyi.sk/productimages/product_main_images/small/17285.jpg")</f>
        <v>0.0</v>
      </c>
      <c r="F1558" s="2" t="inlineStr">
        <is>
          <t>5999084953072</t>
        </is>
      </c>
      <c r="G1558" s="4" t="inlineStr">
        <is>
          <t xml:space="preserve"> • materiál: plast 
 • možnosť umiestnenia na stôl: áno 
 • zobrazenie času 12/24 h: áno 
 • budenie: áno 
 • časová pamäť: pamäť pre hodiny v prípade výpadku elektriny s CR2032 (3V) C gombíková batéria, je príslušenstvom 
 • zobrazenie vnútornej teploty: áno 
 • ostatné funkcie: možno čítať zo vzdialenosti 50 metrov • jas, ktorý sa automaticky prispôsobuje svetelným podmienkam • displej, ktorý je možné vypnúť diaľkovým ovládačom, napr. v noci • dva časy budenia súčasne • stopky a odpočítavanie • všetky funkcie možno ovládať na diaľku 
 • rozmery: 375 x 128 x 23 mm 
 • napájanie: budík: 230 V~ / 50 Hz,  diaľkový ovládač: CR2032 (3V) gombíková batéria, je príslušenstvom</t>
        </is>
      </c>
    </row>
    <row r="1559">
      <c r="A1559" s="6" t="inlineStr">
        <is>
          <t xml:space="preserve">   Bytové doplnky / DVB-T prijímač, DVB-C prijímač</t>
        </is>
      </c>
      <c r="B1559" s="6" t="inlineStr">
        <is>
          <t/>
        </is>
      </c>
      <c r="C1559" s="6" t="inlineStr">
        <is>
          <t/>
        </is>
      </c>
      <c r="D1559" s="6" t="inlineStr">
        <is>
          <t/>
        </is>
      </c>
      <c r="E1559" s="6" t="inlineStr">
        <is>
          <t/>
        </is>
      </c>
      <c r="F1559" s="6" t="inlineStr">
        <is>
          <t/>
        </is>
      </c>
      <c r="G1559" s="6" t="inlineStr">
        <is>
          <t/>
        </is>
      </c>
    </row>
    <row r="1560">
      <c r="A1560" s="3" t="inlineStr">
        <is>
          <t>HD T2</t>
        </is>
      </c>
      <c r="B1560" s="2" t="inlineStr">
        <is>
          <t>DVB-T/T2 prijímač</t>
        </is>
      </c>
      <c r="C1560" s="1" t="n">
        <v>32.99</v>
      </c>
      <c r="D1560" s="7" t="n">
        <f>HYPERLINK("https://www.somogyi.sk/product/dvb-t-t2-prijimac-hd-t2-16945","https://www.somogyi.sk/product/dvb-t-t2-prijimac-hd-t2-16945")</f>
        <v>0.0</v>
      </c>
      <c r="E1560" s="7" t="n">
        <f>HYPERLINK("https://www.somogyi.sk/productimages/product_main_images/small/16945.jpg","https://www.somogyi.sk/productimages/product_main_images/small/16945.jpg")</f>
        <v>0.0</v>
      </c>
      <c r="F1560" s="2" t="inlineStr">
        <is>
          <t>5999084949778</t>
        </is>
      </c>
      <c r="G1560" s="4" t="inlineStr">
        <is>
          <t xml:space="preserve"> • príjem pozemných, voľne dostupných digitálnych TV staníc: áno 
 • podporované rozlíšenia: 480p_60, 480i_30, 576p_50, 576i_25, 720p_60, 720p_50, 1080i_30, 1080i_25, 1080p_60, 1080p_50 
 •  
 • oneskorené sledovanie programu: áno 
 • EPG program: áno 
 • TXT: áno 
 • rodičovská kontrola, detská zámka: áno 
 • nastaviteľný čas vypnutia: automatický pohotovostný režim v prípade nečinnosti (1-2-3 hodiny, alebo možno vypnúť) 
 • formát obrazu: 4:3, 16:9 
 • prípojky: HDMI, SCART, koaxiálny digitálny zvuk, RF za-/vypnúť 
 • napájanie: 100-240V~, 50/60 Hz_12V=/1A 
 • rozmery: 130 x 88 x 27 mm</t>
        </is>
      </c>
    </row>
    <row r="1561">
      <c r="A1561" s="3" t="inlineStr">
        <is>
          <t>HD2T2</t>
        </is>
      </c>
      <c r="B1561" s="2" t="inlineStr">
        <is>
          <t>DVB-T/T2 prijímač</t>
        </is>
      </c>
      <c r="C1561" s="1" t="n">
        <v>32.99</v>
      </c>
      <c r="D1561" s="7" t="n">
        <f>HYPERLINK("https://www.somogyi.sk/product/dvb-t-t2-prijimac-hd2t2-18336","https://www.somogyi.sk/product/dvb-t-t2-prijimac-hd2t2-18336")</f>
        <v>0.0</v>
      </c>
      <c r="E1561" s="7" t="n">
        <f>HYPERLINK("https://www.somogyi.sk/productimages/product_main_images/small/18336.jpg","https://www.somogyi.sk/productimages/product_main_images/small/18336.jpg")</f>
        <v>0.0</v>
      </c>
      <c r="F1561" s="2" t="inlineStr">
        <is>
          <t>5999084963545</t>
        </is>
      </c>
      <c r="G1561" s="4" t="inlineStr">
        <is>
          <t xml:space="preserve"> • prijímač pre príjem voľne dostupných rozhlasových a TV kanálov 
 • viacjazyčné menu: EN, HU, SK, RO, D, CZ 
 • automatické a manuálne ladenie 
 • zoznam obľúbených kanálov 
 • elektronický programový sprievodca (EPG) 
 • teletext, detský zámok 
 • normálne alebo načasované nahrávanie na USB nosič (max. 32 GB, opcia) 
 • USB prípojka pre max. 500 GB externý pevný disk 
 • prehrávanie multimediálnych súborov (napr. MPG, AVI, VOB, DAT, ASF, MKV, RM, WMV, TS, QT, JPG, PNG, BMP, WMA, WAV, MP3)    
 • podporované rozlíšenie: 1920x1080p / 4:3 / 16:9 
 • HDMI a SCART pripojovacia zásuvka  
 • možno umiestniť na nábytok alebo zavesiť na stenu za TV 
 • príslušenstvo: sieťový adaptér  
 • malé, kompaktné rozmery: 133 x 31 x 78 mm</t>
        </is>
      </c>
    </row>
    <row r="1562">
      <c r="A1562" s="6" t="inlineStr">
        <is>
          <t xml:space="preserve">   Bytové doplnky / Anténa, zosilňovač k anténe</t>
        </is>
      </c>
      <c r="B1562" s="6" t="inlineStr">
        <is>
          <t/>
        </is>
      </c>
      <c r="C1562" s="6" t="inlineStr">
        <is>
          <t/>
        </is>
      </c>
      <c r="D1562" s="6" t="inlineStr">
        <is>
          <t/>
        </is>
      </c>
      <c r="E1562" s="6" t="inlineStr">
        <is>
          <t/>
        </is>
      </c>
      <c r="F1562" s="6" t="inlineStr">
        <is>
          <t/>
        </is>
      </c>
      <c r="G1562" s="6" t="inlineStr">
        <is>
          <t/>
        </is>
      </c>
    </row>
    <row r="1563">
      <c r="A1563" s="3" t="inlineStr">
        <is>
          <t>FZ 56</t>
        </is>
      </c>
      <c r="B1563" s="2" t="inlineStr">
        <is>
          <t>Vonkajšia anténa so zosilňovačom, 56dB, DVB-T/T2</t>
        </is>
      </c>
      <c r="C1563" s="1" t="n">
        <v>45.99</v>
      </c>
      <c r="D1563" s="7" t="n">
        <f>HYPERLINK("https://www.somogyi.sk/product/vonkajsia-antena-so-zosilnovacom-56db-dvb-t-t2-fz-56-14215","https://www.somogyi.sk/product/vonkajsia-antena-so-zosilnovacom-56db-dvb-t-t2-fz-56-14215")</f>
        <v>0.0</v>
      </c>
      <c r="E1563" s="7" t="n">
        <f>HYPERLINK("https://www.somogyi.sk/productimages/product_main_images/small/14215.jpg","https://www.somogyi.sk/productimages/product_main_images/small/14215.jpg")</f>
        <v>0.0</v>
      </c>
      <c r="F1563" s="2" t="inlineStr">
        <is>
          <t>5999084922634</t>
        </is>
      </c>
      <c r="G1563" s="4" t="inlineStr">
        <is>
          <t xml:space="preserve"> • vonkajšia / vnútorná: vonkajšia 
 • umiestnenie: konzola / stena 
 • vhodná na príjem signálu DVB-T / T2: áno 
 • frekvenčné pásmo: 87,5 - 230 MHz / 470 - 862 MHz 
 • polarizácia: H / V 
 • zabudovaný zosilňovač: áno 
 • max. citlivosť: 56 dB 
 • výstupná prípojka / impedancia: "F" zásuvka / 75 Ω 
 • napájanie: 230 V~  / 50 Hz 
 • príslušenstvo: anténa so zosilňovačom, sieťové napájanie, nástenná konzola, objímka na uchytenie,  napájacia výhybka 
 • rozmery: 32 x 3 x 23 cm</t>
        </is>
      </c>
    </row>
    <row r="1564">
      <c r="A1564" s="3" t="inlineStr">
        <is>
          <t>FZ 52</t>
        </is>
      </c>
      <c r="B1564" s="2" t="inlineStr">
        <is>
          <t>Izbová anténa so zosilňovačom, 52dB, DVB-T/T2</t>
        </is>
      </c>
      <c r="C1564" s="1" t="n">
        <v>28.99</v>
      </c>
      <c r="D1564" s="7" t="n">
        <f>HYPERLINK("https://www.somogyi.sk/product/izbova-antena-so-zosilnovacom-52db-dvb-t-t2-fz-52-14214","https://www.somogyi.sk/product/izbova-antena-so-zosilnovacom-52db-dvb-t-t2-fz-52-14214")</f>
        <v>0.0</v>
      </c>
      <c r="E1564" s="7" t="n">
        <f>HYPERLINK("https://www.somogyi.sk/productimages/product_main_images/small/14214.jpg","https://www.somogyi.sk/productimages/product_main_images/small/14214.jpg")</f>
        <v>0.0</v>
      </c>
      <c r="F1564" s="2" t="inlineStr">
        <is>
          <t>5999084922627</t>
        </is>
      </c>
      <c r="G1564" s="4" t="inlineStr">
        <is>
          <t xml:space="preserve"> • vonkajšia / vnútorná: vnútorná 
 • umiestnenie: stôl / možnosť lepenia 
 • vhodná na príjem signálu DVB-T / T2: áno 
 • frekvenčné pásmo: 47 - 230 MHz / 470 - 862 MHz 
 • polarizácia: H / V 
 • zabudovaný zosilňovač: áno 
 • max. citlivosť: 52 dB 
 • výstupná prípojka / impedancia: koax / 75 Ω 
 • napájanie: 230 V~ / 50 Hz, cez anténovú prípojku: 5 V DC 
 • príslušenstvo: anténa so zosilňovačom, držiak na stôl, sieťové napájanie 
 • rozmery: 23 x 21 x 0,1(1) cm</t>
        </is>
      </c>
    </row>
    <row r="1565">
      <c r="A1565" s="3" t="inlineStr">
        <is>
          <t>FZ 51</t>
        </is>
      </c>
      <c r="B1565" s="2" t="inlineStr">
        <is>
          <t>Izbová anténa so zosilňovačom, 51 dB</t>
        </is>
      </c>
      <c r="C1565" s="1" t="n">
        <v>26.99</v>
      </c>
      <c r="D1565" s="7" t="n">
        <f>HYPERLINK("https://www.somogyi.sk/product/izbova-antena-so-zosilnovacom-51-db-fz-51-17706","https://www.somogyi.sk/product/izbova-antena-so-zosilnovacom-51-db-fz-51-17706")</f>
        <v>0.0</v>
      </c>
      <c r="E1565" s="7" t="n">
        <f>HYPERLINK("https://www.somogyi.sk/productimages/product_main_images/small/17706.jpg","https://www.somogyi.sk/productimages/product_main_images/small/17706.jpg")</f>
        <v>0.0</v>
      </c>
      <c r="F1565" s="2" t="inlineStr">
        <is>
          <t>5999084957285</t>
        </is>
      </c>
      <c r="G1565" s="4" t="inlineStr">
        <is>
          <t xml:space="preserve"> • vonkajšia / vnútorná: na vnútorné použitie 
 • vhodná na príjem signálu DVB-T / T2: áno 
 • frekvenčné pásmo: 87,5 - 230 MHz / 470 - 790 MHz 
 • polarizácia: H / V 
 • zabudovaný zosilňovač: áno 
 • max. citlivosť: 51 dB 
 • výstupná prípojka / impedancia: koax / 75 Ω 
 •  
 • rozmery: 190 x 120 x 30 mm</t>
        </is>
      </c>
    </row>
    <row r="1566">
      <c r="A1566" s="3" t="inlineStr">
        <is>
          <t>FZ 53</t>
        </is>
      </c>
      <c r="B1566" s="2" t="inlineStr">
        <is>
          <t>Izbová anténa so zosilňovačom, 53 dB</t>
        </is>
      </c>
      <c r="C1566" s="1" t="n">
        <v>33.99</v>
      </c>
      <c r="D1566" s="7" t="n">
        <f>HYPERLINK("https://www.somogyi.sk/product/izbova-antena-so-zosilnovacom-53-db-fz-53-17707","https://www.somogyi.sk/product/izbova-antena-so-zosilnovacom-53-db-fz-53-17707")</f>
        <v>0.0</v>
      </c>
      <c r="E1566" s="7" t="n">
        <f>HYPERLINK("https://www.somogyi.sk/productimages/product_main_images/small/17707.jpg","https://www.somogyi.sk/productimages/product_main_images/small/17707.jpg")</f>
        <v>0.0</v>
      </c>
      <c r="F1566" s="2" t="inlineStr">
        <is>
          <t>5999084957292</t>
        </is>
      </c>
      <c r="G1566" s="4" t="inlineStr">
        <is>
          <t xml:space="preserve"> • vonkajšia / vnútorná: na vnútorné použitie 
 • vhodná na príjem signálu DVB-T / T2: áno 
 • frekvenčné pásmo: 87,5 - 230 MHz / 470 - 790 MHz 
 • polarizácia: H / V 
 • zabudovaný zosilňovač: áno 
 • max. citlivosť: 53 dB 
 • výstupná prípojka / impedancia: koax / 75 Ω 
 •  
 • rozmery: 300 x 100 x 30 mm</t>
        </is>
      </c>
    </row>
    <row r="1567">
      <c r="A1567" s="6" t="inlineStr">
        <is>
          <t xml:space="preserve">   Bytové doplnky / Univerzálny diaľkový ovládač</t>
        </is>
      </c>
      <c r="B1567" s="6" t="inlineStr">
        <is>
          <t/>
        </is>
      </c>
      <c r="C1567" s="6" t="inlineStr">
        <is>
          <t/>
        </is>
      </c>
      <c r="D1567" s="6" t="inlineStr">
        <is>
          <t/>
        </is>
      </c>
      <c r="E1567" s="6" t="inlineStr">
        <is>
          <t/>
        </is>
      </c>
      <c r="F1567" s="6" t="inlineStr">
        <is>
          <t/>
        </is>
      </c>
      <c r="G1567" s="6" t="inlineStr">
        <is>
          <t/>
        </is>
      </c>
    </row>
    <row r="1568">
      <c r="A1568" s="3" t="inlineStr">
        <is>
          <t>URC SON</t>
        </is>
      </c>
      <c r="B1568" s="2" t="inlineStr">
        <is>
          <t>Sony smart TV diaľkový ovládač</t>
        </is>
      </c>
      <c r="C1568" s="1" t="n">
        <v>8.09</v>
      </c>
      <c r="D1568" s="7" t="n">
        <f>HYPERLINK("https://www.somogyi.sk/product/sony-smart-tv-dialkovy-ovladac-urc-son-15439","https://www.somogyi.sk/product/sony-smart-tv-dialkovy-ovladac-urc-son-15439")</f>
        <v>0.0</v>
      </c>
      <c r="E1568" s="7" t="n">
        <f>HYPERLINK("https://www.somogyi.sk/productimages/product_main_images/small/15439.jpg","https://www.somogyi.sk/productimages/product_main_images/small/15439.jpg")</f>
        <v>0.0</v>
      </c>
      <c r="F1568" s="2" t="inlineStr">
        <is>
          <t>5999084934736</t>
        </is>
      </c>
      <c r="G1568" s="4" t="inlineStr">
        <is>
          <t xml:space="preserve"> • náhrada koľkých diaľkových ovládačov: 1 
 • vyhľadávanie kódu: fixné kódy (nevyžaduje nastavenie) odporúčame k Sony TV 
 • napájanie: 2 x AAA batéria (nie je príslušenstvom)</t>
        </is>
      </c>
    </row>
    <row r="1569">
      <c r="A1569" s="3" t="inlineStr">
        <is>
          <t>URC GATE</t>
        </is>
      </c>
      <c r="B1569" s="2" t="inlineStr">
        <is>
          <t>Univerzálny diaľkový ovládač, učiaci sa</t>
        </is>
      </c>
      <c r="C1569" s="1" t="n">
        <v>10.99</v>
      </c>
      <c r="D1569" s="7" t="n">
        <f>HYPERLINK("https://www.somogyi.sk/product/univerzalny-dialkovy-ovladac-uciaci-sa-urc-gate-15823","https://www.somogyi.sk/product/univerzalny-dialkovy-ovladac-uciaci-sa-urc-gate-15823")</f>
        <v>0.0</v>
      </c>
      <c r="E1569" s="7" t="n">
        <f>HYPERLINK("https://www.somogyi.sk/productimages/product_main_images/small/15823.jpg","https://www.somogyi.sk/productimages/product_main_images/small/15823.jpg")</f>
        <v>0.0</v>
      </c>
      <c r="F1569" s="2" t="inlineStr">
        <is>
          <t>5999084938574</t>
        </is>
      </c>
      <c r="G1569" s="4" t="inlineStr">
        <is>
          <t xml:space="preserve"> • náhrada koľkých diaľkových ovládačov: 4 
 • učiaci sa: áno 
 • napájanie: LR27A (12V) (je príslušenstvom)</t>
        </is>
      </c>
    </row>
    <row r="1570">
      <c r="A1570" s="3" t="inlineStr">
        <is>
          <t>URC 2000AC/SL</t>
        </is>
      </c>
      <c r="B1570" s="2" t="inlineStr">
        <is>
          <t>Univerzálny diaľkový ovládač pre klimatizácie</t>
        </is>
      </c>
      <c r="C1570" s="1" t="n">
        <v>21.99</v>
      </c>
      <c r="D1570" s="7" t="n">
        <f>HYPERLINK("https://www.somogyi.sk/product/univerzalny-dialkovy-ovladac-pre-klimatizacie-urc-2000ac-sl-15032","https://www.somogyi.sk/product/univerzalny-dialkovy-ovladac-pre-klimatizacie-urc-2000ac-sl-15032")</f>
        <v>0.0</v>
      </c>
      <c r="E1570" s="7" t="n">
        <f>HYPERLINK("https://www.somogyi.sk/productimages/product_main_images/small/15032.jpg","https://www.somogyi.sk/productimages/product_main_images/small/15032.jpg")</f>
        <v>0.0</v>
      </c>
      <c r="F1570" s="2" t="inlineStr">
        <is>
          <t>5999084930660</t>
        </is>
      </c>
      <c r="G1570" s="4" t="inlineStr">
        <is>
          <t xml:space="preserve"> • LCD displej: veľký LCD displej 
 • podsvietenie pozadia / tlačidiel: áno / nie 
 • vyhľadávanie kódu: manuálne / automatické 
 • ostatné funkcie: SMART sleep režim / časovač za- a vypnutiaresp. Programy 
 • držiak: nástenný 
 • napájanie: 2 x AAA batéria (nie je príslušenstvom) 
 • rozmery: 165 x 55 x 20 mm 
 • kompatibilita: 2000 kódov pre viac ako 10000 typom</t>
        </is>
      </c>
    </row>
    <row r="1571">
      <c r="A1571" s="3" t="inlineStr">
        <is>
          <t>URC GR 1</t>
        </is>
      </c>
      <c r="B1571" s="2" t="inlineStr">
        <is>
          <t>GRUNDIG TV diaľkový ovládač</t>
        </is>
      </c>
      <c r="C1571" s="1" t="n">
        <v>5.49</v>
      </c>
      <c r="D1571" s="7" t="n">
        <f>HYPERLINK("https://www.somogyi.sk/product/grundig-tv-dialkovy-ovladac-urc-gr-1-17034","https://www.somogyi.sk/product/grundig-tv-dialkovy-ovladac-urc-gr-1-17034")</f>
        <v>0.0</v>
      </c>
      <c r="E1571" s="7" t="n">
        <f>HYPERLINK("https://www.somogyi.sk/productimages/product_main_images/small/17034.jpg","https://www.somogyi.sk/productimages/product_main_images/small/17034.jpg")</f>
        <v>0.0</v>
      </c>
      <c r="F1571" s="2" t="inlineStr">
        <is>
          <t>5999084950668</t>
        </is>
      </c>
      <c r="G1571" s="4" t="inlineStr">
        <is>
          <t xml:space="preserve"> • vyhľadávanie kódu: vopred kódovaný, nevyžaduje nastavenie 
 • napájanie: 2 x 1,5V (AAA) batéria, nie je príslušenstvom</t>
        </is>
      </c>
    </row>
    <row r="1572">
      <c r="A1572" s="3" t="inlineStr">
        <is>
          <t>SUPTRB009</t>
        </is>
      </c>
      <c r="B1572" s="2" t="inlineStr">
        <is>
          <t>Sony Ready To Use, TV / Smart TV diaľkový ovládač</t>
        </is>
      </c>
      <c r="C1572" s="1" t="n">
        <v>6.59</v>
      </c>
      <c r="D1572" s="7" t="n">
        <f>HYPERLINK("https://www.somogyi.sk/product/sony-ready-to-use-tv-smart-tv-dialkovy-ovladac-suptrb009-17580","https://www.somogyi.sk/product/sony-ready-to-use-tv-smart-tv-dialkovy-ovladac-suptrb009-17580")</f>
        <v>0.0</v>
      </c>
      <c r="E1572" s="7" t="n">
        <f>HYPERLINK("https://www.somogyi.sk/productimages/product_main_images/small/17580.jpg","https://www.somogyi.sk/productimages/product_main_images/small/17580.jpg")</f>
        <v>0.0</v>
      </c>
      <c r="F1572" s="2" t="inlineStr">
        <is>
          <t>8054242080469</t>
        </is>
      </c>
      <c r="G1572" s="4" t="inlineStr">
        <is>
          <t xml:space="preserve"> • LCD displej: nie 
 • učiaci sa: nie 
 • ostatné funkcie: môžete ho používať ihneď po vložení batérií, nie je potrebné žiadne programovanie / tento diaľkový ovládač  je možné použiť pre všetky televízory Sony® vyrobené po roku 2000 / niektoré tlačidlá Smart TV nie sú vo všetkých prípadoch podporované 
 • napájanie: 2 x 1,5 V (AAA) batéria, nie je príslušenstvom</t>
        </is>
      </c>
    </row>
    <row r="1573">
      <c r="A1573" s="3" t="inlineStr">
        <is>
          <t>URC JUMP</t>
        </is>
      </c>
      <c r="B1573" s="2" t="inlineStr">
        <is>
          <t>Univerzálny diaľkový ovládač</t>
        </is>
      </c>
      <c r="C1573" s="1" t="n">
        <v>20.99</v>
      </c>
      <c r="D1573" s="7" t="n">
        <f>HYPERLINK("https://www.somogyi.sk/product/univerzalny-dialkovy-ovladac-urc-jump-16487","https://www.somogyi.sk/product/univerzalny-dialkovy-ovladac-urc-jump-16487")</f>
        <v>0.0</v>
      </c>
      <c r="E1573" s="7" t="n">
        <f>HYPERLINK("https://www.somogyi.sk/productimages/product_main_images/small/16487.jpg","https://www.somogyi.sk/productimages/product_main_images/small/16487.jpg")</f>
        <v>0.0</v>
      </c>
      <c r="F1573" s="2" t="inlineStr">
        <is>
          <t>5999084945190</t>
        </is>
      </c>
      <c r="G1573" s="4" t="inlineStr">
        <is>
          <t xml:space="preserve"> • učiaci sa: áno 
 • napájanie: CR2032 batéria (je príslušenstvom)</t>
        </is>
      </c>
    </row>
    <row r="1574">
      <c r="A1574" s="3" t="inlineStr">
        <is>
          <t>URC 22</t>
        </is>
      </c>
      <c r="B1574" s="2" t="inlineStr">
        <is>
          <t xml:space="preserve">Univerzálny diaľkový ovládač, k 4 prístrojom </t>
        </is>
      </c>
      <c r="C1574" s="1" t="n">
        <v>6.39</v>
      </c>
      <c r="D1574" s="7" t="n">
        <f>HYPERLINK("https://www.somogyi.sk/product/univerzalny-dialkovy-ovladac-k-4-pristrojom-urc-22-14251","https://www.somogyi.sk/product/univerzalny-dialkovy-ovladac-k-4-pristrojom-urc-22-14251")</f>
        <v>0.0</v>
      </c>
      <c r="E1574" s="7" t="n">
        <f>HYPERLINK("https://www.somogyi.sk/productimages/product_main_images/small/14251.jpg","https://www.somogyi.sk/productimages/product_main_images/small/14251.jpg")</f>
        <v>0.0</v>
      </c>
      <c r="F1574" s="2" t="inlineStr">
        <is>
          <t>5999084922993</t>
        </is>
      </c>
      <c r="G1574" s="4" t="inlineStr">
        <is>
          <t xml:space="preserve"> • náhrada koľkých diaľkových ovládačov: 4 
 • LCD displej: nie 
 • podsvietenie pozadia / tlačidiel: nie 
 • učiaci sa: nie 
 • vyhľadávanie kódu: manuálne / automatické 
 • držiak: nie 
 • napájanie: 2 x AA batéria (nie je príslušenstvo)</t>
        </is>
      </c>
    </row>
    <row r="1575">
      <c r="A1575" s="3" t="inlineStr">
        <is>
          <t>SUPTRB008</t>
        </is>
      </c>
      <c r="B1575" s="2" t="inlineStr">
        <is>
          <t>Samsung Ready To Use, TV / Smart TV diaľkový ovládač</t>
        </is>
      </c>
      <c r="C1575" s="1" t="n">
        <v>6.59</v>
      </c>
      <c r="D1575" s="7" t="n">
        <f>HYPERLINK("https://www.somogyi.sk/product/samsung-ready-to-use-tv-smart-tv-dialkovy-ovladac-suptrb008-17579","https://www.somogyi.sk/product/samsung-ready-to-use-tv-smart-tv-dialkovy-ovladac-suptrb008-17579")</f>
        <v>0.0</v>
      </c>
      <c r="E1575" s="7" t="n">
        <f>HYPERLINK("https://www.somogyi.sk/productimages/product_main_images/small/17579.jpg","https://www.somogyi.sk/productimages/product_main_images/small/17579.jpg")</f>
        <v>0.0</v>
      </c>
      <c r="F1575" s="2" t="inlineStr">
        <is>
          <t>8054242080445</t>
        </is>
      </c>
      <c r="G1575" s="4" t="inlineStr">
        <is>
          <t xml:space="preserve"> • LCD displej: nie 
 • učiaci sa: nie 
 • ostatné funkcie: môžete ho používať ihneď po vložení batérií, nie je potrebné žiadne programovanie / tento diaľkový ovládač  je možné použiť pre všetky televízory Samsung® vyrobené po roku 2000 / niektoré tlačidlá Smart TV nie sú vo všetkých prípadoch podporované 
 • napájanie: 2 x 1,5 V (AAA) batéria, nie je príslušenstvom</t>
        </is>
      </c>
    </row>
    <row r="1576">
      <c r="A1576" s="3" t="inlineStr">
        <is>
          <t>URC 10</t>
        </is>
      </c>
      <c r="B1576" s="2" t="inlineStr">
        <is>
          <t xml:space="preserve">Univerzálny diaľkový ovládač, k 8 prístrojom </t>
        </is>
      </c>
      <c r="C1576" s="1" t="n">
        <v>5.49</v>
      </c>
      <c r="D1576" s="7" t="n">
        <f>HYPERLINK("https://www.somogyi.sk/product/univerzalny-dialkovy-ovladac-k-8-pristrojom-urc-10-7097","https://www.somogyi.sk/product/univerzalny-dialkovy-ovladac-k-8-pristrojom-urc-10-7097")</f>
        <v>0.0</v>
      </c>
      <c r="E1576" s="7" t="n">
        <f>HYPERLINK("https://www.somogyi.sk/productimages/product_main_images/small/07097.jpg","https://www.somogyi.sk/productimages/product_main_images/small/07097.jpg")</f>
        <v>0.0</v>
      </c>
      <c r="F1576" s="2" t="inlineStr">
        <is>
          <t>5998312760918</t>
        </is>
      </c>
      <c r="G1576" s="4" t="inlineStr">
        <is>
          <t xml:space="preserve"> • náhrada koľkých diaľkových ovládačov: 8 
 • LCD displej: nie 
 • podsvietenie pozadia / tlačidiel: nie 
 • učiaci sa: nie 
 • vyhľadávanie kódu: manuálne / automatické 
 • držiak: nie 
 • napájanie: 2 x AAA batéria (nie je príslušenstvo) 
 • rozmery: 45 x 21 x 182 mm</t>
        </is>
      </c>
    </row>
    <row r="1577">
      <c r="A1577" s="3" t="inlineStr">
        <is>
          <t>SUPTRB007</t>
        </is>
      </c>
      <c r="B1577" s="2" t="inlineStr">
        <is>
          <t>LG Ready To Use, TV / Smart TV diaľkový ovládač</t>
        </is>
      </c>
      <c r="C1577" s="1" t="n">
        <v>6.69</v>
      </c>
      <c r="D1577" s="7" t="n">
        <f>HYPERLINK("https://www.somogyi.sk/product/lg-ready-to-use-tv-smart-tv-dialkovy-ovladac-suptrb007-17578","https://www.somogyi.sk/product/lg-ready-to-use-tv-smart-tv-dialkovy-ovladac-suptrb007-17578")</f>
        <v>0.0</v>
      </c>
      <c r="E1577" s="7" t="n">
        <f>HYPERLINK("https://www.somogyi.sk/productimages/product_main_images/small/17578.jpg","https://www.somogyi.sk/productimages/product_main_images/small/17578.jpg")</f>
        <v>0.0</v>
      </c>
      <c r="F1577" s="2" t="inlineStr">
        <is>
          <t>8054242080438</t>
        </is>
      </c>
      <c r="G1577" s="4" t="inlineStr">
        <is>
          <t xml:space="preserve"> • LCD displej: nie 
 • učiaci sa: nie 
 • ostatné funkcie: môžete ho používať ihneď po vložení batérií, nie je potrebné žiadne programovanie / tento diaľkový ovládač je možné použiť pre všetky televízory LG® vyrobené po roku 2000 / niektoré tlačidlá Smart TV nie sú vo všetkých prípadoch podporované 
 • napájanie: 2 x 1,5 V (AAA) batéria, nie je príslušenstvom</t>
        </is>
      </c>
    </row>
    <row r="1578">
      <c r="A1578" s="3" t="inlineStr">
        <is>
          <t>URC PAN</t>
        </is>
      </c>
      <c r="B1578" s="2" t="inlineStr">
        <is>
          <t>Panasonic smart TV diaľkový ovládač</t>
        </is>
      </c>
      <c r="C1578" s="1" t="n">
        <v>8.09</v>
      </c>
      <c r="D1578" s="7" t="n">
        <f>HYPERLINK("https://www.somogyi.sk/product/panasonic-smart-tv-dialkovy-ovladac-urc-pan-15435","https://www.somogyi.sk/product/panasonic-smart-tv-dialkovy-ovladac-urc-pan-15435")</f>
        <v>0.0</v>
      </c>
      <c r="E1578" s="7" t="n">
        <f>HYPERLINK("https://www.somogyi.sk/productimages/product_main_images/small/15435.jpg","https://www.somogyi.sk/productimages/product_main_images/small/15435.jpg")</f>
        <v>0.0</v>
      </c>
      <c r="F1578" s="2" t="inlineStr">
        <is>
          <t>5999084934699</t>
        </is>
      </c>
      <c r="G1578" s="4" t="inlineStr">
        <is>
          <t xml:space="preserve"> • náhrada koľkých diaľkových ovládačov: 1 
 • vyhľadávanie kódu: fixné kódy (nevyžaduje nastavenie) odporúčame k Panasonic smart TV 
 • napájanie: 2 x AA batéria (nie je príslušenstvom)</t>
        </is>
      </c>
    </row>
    <row r="1579">
      <c r="A1579" s="3" t="inlineStr">
        <is>
          <t>URC ALL</t>
        </is>
      </c>
      <c r="B1579" s="2" t="inlineStr">
        <is>
          <t>9in1 univerzálny diaľkový ovládač TV</t>
        </is>
      </c>
      <c r="C1579" s="1" t="n">
        <v>8.09</v>
      </c>
      <c r="D1579" s="7" t="n">
        <f>HYPERLINK("https://www.somogyi.sk/product/9in1-univerzalny-dialkovy-ovladac-tv-urc-all-16917","https://www.somogyi.sk/product/9in1-univerzalny-dialkovy-ovladac-tv-urc-all-16917")</f>
        <v>0.0</v>
      </c>
      <c r="E1579" s="7" t="n">
        <f>HYPERLINK("https://www.somogyi.sk/productimages/product_main_images/small/16917.jpg","https://www.somogyi.sk/productimages/product_main_images/small/16917.jpg")</f>
        <v>0.0</v>
      </c>
      <c r="F1579" s="2" t="inlineStr">
        <is>
          <t>5999084949495</t>
        </is>
      </c>
      <c r="G1579" s="4" t="inlineStr">
        <is>
          <t xml:space="preserve"> • náhrada koľkých diaľkových ovládačov: pre 9 značiek (Samsung, LG, Sony, Panasonic, Toshiba, Philips, Hisense, Sharp, Grundig) 
 •  
 • napájanie: 2 x 1,5V (AAA) batéria, nie je príslušenstvom</t>
        </is>
      </c>
    </row>
    <row r="1580">
      <c r="A1580" s="3" t="inlineStr">
        <is>
          <t>URC PH</t>
        </is>
      </c>
      <c r="B1580" s="2" t="inlineStr">
        <is>
          <t>Philips smart TV diaľkový ovládač</t>
        </is>
      </c>
      <c r="C1580" s="1" t="n">
        <v>8.09</v>
      </c>
      <c r="D1580" s="7" t="n">
        <f>HYPERLINK("https://www.somogyi.sk/product/philips-smart-tv-dialkovy-ovladac-urc-ph-15436","https://www.somogyi.sk/product/philips-smart-tv-dialkovy-ovladac-urc-ph-15436")</f>
        <v>0.0</v>
      </c>
      <c r="E1580" s="7" t="n">
        <f>HYPERLINK("https://www.somogyi.sk/productimages/product_main_images/small/15436.jpg","https://www.somogyi.sk/productimages/product_main_images/small/15436.jpg")</f>
        <v>0.0</v>
      </c>
      <c r="F1580" s="2" t="inlineStr">
        <is>
          <t>5999084934705</t>
        </is>
      </c>
      <c r="G1580" s="4" t="inlineStr">
        <is>
          <t xml:space="preserve"> • náhrada koľkých diaľkových ovládačov: 1 
 • vyhľadávanie kódu: fixné kódy (nevyžaduje nastavenie) odporúčame k Philips smart TV 
 • napájanie: 1 x AAA batéria (nie je príslušenstvom)</t>
        </is>
      </c>
    </row>
    <row r="1581">
      <c r="A1581" s="3" t="inlineStr">
        <is>
          <t>URC SAM 1</t>
        </is>
      </c>
      <c r="B1581" s="2" t="inlineStr">
        <is>
          <t>Samsung smart TV diaľkový ovládač</t>
        </is>
      </c>
      <c r="C1581" s="1" t="n">
        <v>8.09</v>
      </c>
      <c r="D1581" s="7" t="n">
        <f>HYPERLINK("https://www.somogyi.sk/product/samsung-smart-tv-dialkovy-ovladac-urc-sam-1-15437","https://www.somogyi.sk/product/samsung-smart-tv-dialkovy-ovladac-urc-sam-1-15437")</f>
        <v>0.0</v>
      </c>
      <c r="E1581" s="7" t="n">
        <f>HYPERLINK("https://www.somogyi.sk/productimages/product_main_images/small/15437.jpg","https://www.somogyi.sk/productimages/product_main_images/small/15437.jpg")</f>
        <v>0.0</v>
      </c>
      <c r="F1581" s="2" t="inlineStr">
        <is>
          <t>5999084934712</t>
        </is>
      </c>
      <c r="G1581" s="4" t="inlineStr">
        <is>
          <t xml:space="preserve"> • náhrada koľkých diaľkových ovládačov: 1 
 • vyhľadávanie kódu: fixné kódy (nevyžaduje nastavenie) odporúčame k Samsung smart TV 
 • napájanie: 2 x AAA batéria (nie je príslušenstvom)</t>
        </is>
      </c>
    </row>
    <row r="1582">
      <c r="A1582" s="3" t="inlineStr">
        <is>
          <t>URC SAM 2</t>
        </is>
      </c>
      <c r="B1582" s="2" t="inlineStr">
        <is>
          <t>Samsung TV diaľkový ovládač</t>
        </is>
      </c>
      <c r="C1582" s="1" t="n">
        <v>8.09</v>
      </c>
      <c r="D1582" s="7" t="n">
        <f>HYPERLINK("https://www.somogyi.sk/product/samsung-tv-dialkovy-ovladac-urc-sam-2-15438","https://www.somogyi.sk/product/samsung-tv-dialkovy-ovladac-urc-sam-2-15438")</f>
        <v>0.0</v>
      </c>
      <c r="E1582" s="7" t="n">
        <f>HYPERLINK("https://www.somogyi.sk/productimages/product_main_images/small/15438.jpg","https://www.somogyi.sk/productimages/product_main_images/small/15438.jpg")</f>
        <v>0.0</v>
      </c>
      <c r="F1582" s="2" t="inlineStr">
        <is>
          <t>5999084934729</t>
        </is>
      </c>
      <c r="G1582" s="4" t="inlineStr">
        <is>
          <t xml:space="preserve"> • náhrada koľkých diaľkových ovládačov: 1 
 • vyhľadávanie kódu: fixné kódy (nevyžaduje nastavenie) odporúčame k Samsung TV 
 • napájanie: 2 x AAA batéria (nie je príslušenstvom)</t>
        </is>
      </c>
    </row>
    <row r="1583">
      <c r="A1583" s="3" t="inlineStr">
        <is>
          <t>URC LG 1</t>
        </is>
      </c>
      <c r="B1583" s="2" t="inlineStr">
        <is>
          <t>LG TV diaľkový ovládač</t>
        </is>
      </c>
      <c r="C1583" s="1" t="n">
        <v>8.09</v>
      </c>
      <c r="D1583" s="7" t="n">
        <f>HYPERLINK("https://www.somogyi.sk/product/lg-tv-dialkovy-ovladac-urc-lg-1-15433","https://www.somogyi.sk/product/lg-tv-dialkovy-ovladac-urc-lg-1-15433")</f>
        <v>0.0</v>
      </c>
      <c r="E1583" s="7" t="n">
        <f>HYPERLINK("https://www.somogyi.sk/productimages/product_main_images/small/15433.jpg","https://www.somogyi.sk/productimages/product_main_images/small/15433.jpg")</f>
        <v>0.0</v>
      </c>
      <c r="F1583" s="2" t="inlineStr">
        <is>
          <t>5999084934675</t>
        </is>
      </c>
      <c r="G1583" s="4" t="inlineStr">
        <is>
          <t xml:space="preserve"> • náhrada koľkých diaľkových ovládačov: 1 
 • vyhľadávanie kódu: fixné kódy (nevyžaduje nastavenie) odporúčame k LG TV 
 • napájanie: 2 x AAA batéria (nie je príslušenstvom)</t>
        </is>
      </c>
    </row>
    <row r="1584">
      <c r="A1584" s="3" t="inlineStr">
        <is>
          <t>URC LG 2</t>
        </is>
      </c>
      <c r="B1584" s="2" t="inlineStr">
        <is>
          <t>LG smart TV diaľkový ovládač</t>
        </is>
      </c>
      <c r="C1584" s="1" t="n">
        <v>8.09</v>
      </c>
      <c r="D1584" s="7" t="n">
        <f>HYPERLINK("https://www.somogyi.sk/product/lg-smart-tv-dialkovy-ovladac-urc-lg-2-15434","https://www.somogyi.sk/product/lg-smart-tv-dialkovy-ovladac-urc-lg-2-15434")</f>
        <v>0.0</v>
      </c>
      <c r="E1584" s="7" t="n">
        <f>HYPERLINK("https://www.somogyi.sk/productimages/product_main_images/small/15434.jpg","https://www.somogyi.sk/productimages/product_main_images/small/15434.jpg")</f>
        <v>0.0</v>
      </c>
      <c r="F1584" s="2" t="inlineStr">
        <is>
          <t>5999084934682</t>
        </is>
      </c>
      <c r="G1584" s="4" t="inlineStr">
        <is>
          <t xml:space="preserve"> • náhrada koľkých diaľkových ovládačov: 1 
 • vyhľadávanie kódu: fixné kódy (nevyžaduje nastavenie) odporúčame k LG smart TV 
 • napájanie: 2 x AAA batéria (nie je príslušenstvom)</t>
        </is>
      </c>
    </row>
    <row r="1585">
      <c r="A1585" s="6" t="inlineStr">
        <is>
          <t xml:space="preserve">   Bytové doplnky / Nástenná konzola</t>
        </is>
      </c>
      <c r="B1585" s="6" t="inlineStr">
        <is>
          <t/>
        </is>
      </c>
      <c r="C1585" s="6" t="inlineStr">
        <is>
          <t/>
        </is>
      </c>
      <c r="D1585" s="6" t="inlineStr">
        <is>
          <t/>
        </is>
      </c>
      <c r="E1585" s="6" t="inlineStr">
        <is>
          <t/>
        </is>
      </c>
      <c r="F1585" s="6" t="inlineStr">
        <is>
          <t/>
        </is>
      </c>
      <c r="G1585" s="6" t="inlineStr">
        <is>
          <t/>
        </is>
      </c>
    </row>
    <row r="1586">
      <c r="A1586" s="3" t="inlineStr">
        <is>
          <t>LCDH 30</t>
        </is>
      </c>
      <c r="B1586" s="2" t="inlineStr">
        <is>
          <t>Nástenná konzola 60"-100", NAKLONITEĽNÁ, čierna farba</t>
        </is>
      </c>
      <c r="C1586" s="1" t="n">
        <v>56.99</v>
      </c>
      <c r="D1586" s="7" t="n">
        <f>HYPERLINK("https://www.somogyi.sk/product/nastenna-konzola-60-100-naklonitelna-cierna-farba-lcdh-30-16544","https://www.somogyi.sk/product/nastenna-konzola-60-100-naklonitelna-cierna-farba-lcdh-30-16544")</f>
        <v>0.0</v>
      </c>
      <c r="E1586" s="7" t="n">
        <f>HYPERLINK("https://www.somogyi.sk/productimages/product_main_images/small/16544.jpg","https://www.somogyi.sk/productimages/product_main_images/small/16544.jpg")</f>
        <v>0.0</v>
      </c>
      <c r="F1586" s="2" t="inlineStr">
        <is>
          <t>5999084945763</t>
        </is>
      </c>
      <c r="G1586" s="4" t="inlineStr">
        <is>
          <t xml:space="preserve"> • rozmer obrazovky: 60" - 100" 
 • max. nosnosť: 75 Kg 
 • automatické zafixovanie, rýchle uvoľnenie: áno 
 • zabudovaná vodováha: áno 
 • VESA: 200x200, 300x200, 300x300, 400x200, 400x300, 400x400, 600x400, 600x600, 800x600, 900x600</t>
        </is>
      </c>
    </row>
    <row r="1587">
      <c r="A1587" s="3" t="inlineStr">
        <is>
          <t>LCDH 01/BK</t>
        </is>
      </c>
      <c r="B1587" s="2" t="inlineStr">
        <is>
          <t>Nástenná konzola max 15kg</t>
        </is>
      </c>
      <c r="C1587" s="1" t="n">
        <v>28.99</v>
      </c>
      <c r="D1587" s="7" t="n">
        <f>HYPERLINK("https://www.somogyi.sk/product/nastenna-konzola-max-15kg-lcdh-01-bk-14432","https://www.somogyi.sk/product/nastenna-konzola-max-15kg-lcdh-01-bk-14432")</f>
        <v>0.0</v>
      </c>
      <c r="E1587" s="7" t="n">
        <f>HYPERLINK("https://www.somogyi.sk/productimages/product_main_images/small/14432.jpg","https://www.somogyi.sk/productimages/product_main_images/small/14432.jpg")</f>
        <v>0.0</v>
      </c>
      <c r="F1587" s="2" t="inlineStr">
        <is>
          <t>5999084924805</t>
        </is>
      </c>
      <c r="G1587" s="4" t="inlineStr">
        <is>
          <t xml:space="preserve"> • materiál: zliatina hliníka 
 • rozmer obrazovky: - 
 • max. nosnosť: 15 kg 
 • automatické zafixovanie, rýchle uvoľnenie: nie 
 • sklopiteľný: +/- 80° 
 • možnosť otáčania vo viacerých smeroch: áno 
 • zabudovaná vodováha: nie 
 • VESA: 75 x75, 100 x 100 
 • rozmery: -</t>
        </is>
      </c>
    </row>
    <row r="1588">
      <c r="A1588" s="3" t="inlineStr">
        <is>
          <t>LCDH 19</t>
        </is>
      </c>
      <c r="B1588" s="2" t="inlineStr">
        <is>
          <t>Nástenná konzola 37"-70", nakloniteľná</t>
        </is>
      </c>
      <c r="C1588" s="1" t="n">
        <v>20.99</v>
      </c>
      <c r="D1588" s="7" t="n">
        <f>HYPERLINK("https://www.somogyi.sk/product/nastenna-konzola-37-70-naklonitelna-lcdh-19-14587","https://www.somogyi.sk/product/nastenna-konzola-37-70-naklonitelna-lcdh-19-14587")</f>
        <v>0.0</v>
      </c>
      <c r="E1588" s="7" t="n">
        <f>HYPERLINK("https://www.somogyi.sk/productimages/product_main_images/small/14587.jpg","https://www.somogyi.sk/productimages/product_main_images/small/14587.jpg")</f>
        <v>0.0</v>
      </c>
      <c r="F1588" s="2" t="inlineStr">
        <is>
          <t>5999084926298</t>
        </is>
      </c>
      <c r="G1588" s="4" t="inlineStr">
        <is>
          <t xml:space="preserve"> • materiál: kov 
 • rozmer obrazovky: 37" - 70" 
 • max. nosnosť: 40 kg 
 • automatické zafixovanie, rýchle uvoľnenie: nie 
 • sklopiteľný: +/- 12° 
 • možnosť otáčania vo viacerých smeroch: nie 
 • zabudovaná vodováha: áno 
 • VESA: 200 x 200, 400 x 200, 300 x 300, 400 x 400, 600 x 400 
 • rozmery: -</t>
        </is>
      </c>
    </row>
    <row r="1589">
      <c r="A1589" s="3" t="inlineStr">
        <is>
          <t>LCDH 321</t>
        </is>
      </c>
      <c r="B1589" s="2" t="inlineStr">
        <is>
          <t>Nástenná konzola 23"-55", FULL MOTION</t>
        </is>
      </c>
      <c r="C1589" s="1" t="n">
        <v>17.49</v>
      </c>
      <c r="D1589" s="7" t="n">
        <f>HYPERLINK("https://www.somogyi.sk/product/nastenna-konzola-23-55-full-motion-lcdh-321-18109","https://www.somogyi.sk/product/nastenna-konzola-23-55-full-motion-lcdh-321-18109")</f>
        <v>0.0</v>
      </c>
      <c r="E1589" s="7" t="n">
        <f>HYPERLINK("https://www.somogyi.sk/productimages/product_main_images/small/18109.jpg","https://www.somogyi.sk/productimages/product_main_images/small/18109.jpg")</f>
        <v>0.0</v>
      </c>
      <c r="F1589" s="2" t="inlineStr">
        <is>
          <t>5999084961312</t>
        </is>
      </c>
      <c r="G1589" s="4" t="inlineStr">
        <is>
          <t xml:space="preserve"> • materiál: kovové 
 • rozmer obrazovky: 23" - 55" 
 • max. nosnosť: 30 kg 
 • VESA: 100x100,100x200,200x100,200x200,300x200,400x200,300x300,400x300,400x400</t>
        </is>
      </c>
    </row>
    <row r="1590">
      <c r="A1590" s="3" t="inlineStr">
        <is>
          <t>LCDH 33</t>
        </is>
      </c>
      <c r="B1590" s="2" t="inlineStr">
        <is>
          <t>Nástenná konzola, 37"-80", FULL MOTION, čierna</t>
        </is>
      </c>
      <c r="C1590" s="1" t="n">
        <v>56.99</v>
      </c>
      <c r="D1590" s="7" t="n">
        <f>HYPERLINK("https://www.somogyi.sk/product/nastenna-konzola-37-80-full-motion-cierna-lcdh-33-17893","https://www.somogyi.sk/product/nastenna-konzola-37-80-full-motion-cierna-lcdh-33-17893")</f>
        <v>0.0</v>
      </c>
      <c r="E1590" s="7" t="n">
        <f>HYPERLINK("https://www.somogyi.sk/productimages/product_main_images/small/17893.jpg","https://www.somogyi.sk/productimages/product_main_images/small/17893.jpg")</f>
        <v>0.0</v>
      </c>
      <c r="F1590" s="2" t="inlineStr">
        <is>
          <t>5999084959159</t>
        </is>
      </c>
      <c r="G1590" s="4" t="inlineStr">
        <is>
          <t xml:space="preserve"> • rozmer obrazovky: 37"-80" 
 • max. nosnosť: 45 kg 
 • sklopiteľný: áno 
 • možnosť otáčania vo viacerých smeroch: áno 
 • VESA: VESA 200x200, 200x300, 300x200, 200x400, 400x200, 300x300, 300x400, 400x300, 600x200, 400x400, 600x300, 600x400</t>
        </is>
      </c>
    </row>
    <row r="1591">
      <c r="A1591" s="3" t="inlineStr">
        <is>
          <t>LCDH 31</t>
        </is>
      </c>
      <c r="B1591" s="2" t="inlineStr">
        <is>
          <t>Nástenná konzola 37"-90", FULL MOTON, čierna farba</t>
        </is>
      </c>
      <c r="C1591" s="1" t="n">
        <v>105.9</v>
      </c>
      <c r="D1591" s="7" t="n">
        <f>HYPERLINK("https://www.somogyi.sk/product/nastenna-konzola-37-90-full-moton-cierna-farba-lcdh-31-16545","https://www.somogyi.sk/product/nastenna-konzola-37-90-full-moton-cierna-farba-lcdh-31-16545")</f>
        <v>0.0</v>
      </c>
      <c r="E1591" s="7" t="n">
        <f>HYPERLINK("https://www.somogyi.sk/productimages/product_main_images/small/16545.jpg","https://www.somogyi.sk/productimages/product_main_images/small/16545.jpg")</f>
        <v>0.0</v>
      </c>
      <c r="F1591" s="2" t="inlineStr">
        <is>
          <t>5999084945770</t>
        </is>
      </c>
      <c r="G1591" s="4" t="inlineStr">
        <is>
          <t xml:space="preserve"> • rozmer obrazovky: 37" - 90" 
 • max. nosnosť: 75 Kg 
 • zabudovaná vodováha: áno 
 • VESA: VESA 200x200, 300x300, 400x200, 400x400, 600x400, 800x400</t>
        </is>
      </c>
    </row>
    <row r="1592">
      <c r="A1592" s="3" t="inlineStr">
        <is>
          <t>LCDH STAND</t>
        </is>
      </c>
      <c r="B1592" s="2" t="inlineStr">
        <is>
          <t>Stojanová konzola 9"-70", fixná, čierna</t>
        </is>
      </c>
      <c r="C1592" s="1" t="n">
        <v>50.99</v>
      </c>
      <c r="D1592" s="7" t="n">
        <f>HYPERLINK("https://www.somogyi.sk/product/stojanova-konzola-9-70-fixna-cierna-lcdh-stand-16928","https://www.somogyi.sk/product/stojanova-konzola-9-70-fixna-cierna-lcdh-stand-16928")</f>
        <v>0.0</v>
      </c>
      <c r="E1592" s="7" t="n">
        <f>HYPERLINK("https://www.somogyi.sk/productimages/product_main_images/small/16928.jpg","https://www.somogyi.sk/productimages/product_main_images/small/16928.jpg")</f>
        <v>0.0</v>
      </c>
      <c r="F1592" s="2" t="inlineStr">
        <is>
          <t>5999084949600</t>
        </is>
      </c>
      <c r="G1592" s="4" t="inlineStr">
        <is>
          <t xml:space="preserve"> • materiál: oceľ 
 • rozmer obrazovky: 49" - 70" 
 • max. nosnosť: 40 kg 
 • automatické zafixovanie, rýchle uvoľnenie: nie 
 • VESA: VESA 300x200, 300x300, 400x200, 400x300, 400x400, 600x400</t>
        </is>
      </c>
    </row>
    <row r="1593">
      <c r="A1593" s="3" t="inlineStr">
        <is>
          <t>LCDH 071</t>
        </is>
      </c>
      <c r="B1593" s="2" t="inlineStr">
        <is>
          <t>Nástenná konzola 23"-42", fixná</t>
        </is>
      </c>
      <c r="C1593" s="1" t="n">
        <v>10.49</v>
      </c>
      <c r="D1593" s="7" t="n">
        <f>HYPERLINK("https://www.somogyi.sk/product/nastenna-konzola-23-42-fixna-lcdh-071-18107","https://www.somogyi.sk/product/nastenna-konzola-23-42-fixna-lcdh-071-18107")</f>
        <v>0.0</v>
      </c>
      <c r="E1593" s="7" t="n">
        <f>HYPERLINK("https://www.somogyi.sk/productimages/product_main_images/small/18107.jpg","https://www.somogyi.sk/productimages/product_main_images/small/18107.jpg")</f>
        <v>0.0</v>
      </c>
      <c r="F1593" s="2" t="inlineStr">
        <is>
          <t>5999084961299</t>
        </is>
      </c>
      <c r="G1593" s="4" t="inlineStr">
        <is>
          <t xml:space="preserve"> • materiál: kovové 
 • rozmer obrazovky: 23" - 42" 
 • max. nosnosť: 45 kg 
 • VESA: 75x75,100x100,100x150,150x100,100x200,200x100,150x150,200x200</t>
        </is>
      </c>
    </row>
    <row r="1594">
      <c r="A1594" s="3" t="inlineStr">
        <is>
          <t>LCDH 02/BK</t>
        </is>
      </c>
      <c r="B1594" s="2" t="inlineStr">
        <is>
          <t>Nástenná konzola max 15kg</t>
        </is>
      </c>
      <c r="C1594" s="1" t="n">
        <v>24.99</v>
      </c>
      <c r="D1594" s="7" t="n">
        <f>HYPERLINK("https://www.somogyi.sk/product/nastenna-konzola-max-15kg-lcdh-02-bk-14433","https://www.somogyi.sk/product/nastenna-konzola-max-15kg-lcdh-02-bk-14433")</f>
        <v>0.0</v>
      </c>
      <c r="E1594" s="7" t="n">
        <f>HYPERLINK("https://www.somogyi.sk/productimages/product_main_images/small/14433.jpg","https://www.somogyi.sk/productimages/product_main_images/small/14433.jpg")</f>
        <v>0.0</v>
      </c>
      <c r="F1594" s="2" t="inlineStr">
        <is>
          <t>5999084924812</t>
        </is>
      </c>
      <c r="G1594" s="4" t="inlineStr">
        <is>
          <t xml:space="preserve"> • materiál: zliatina hliníka 
 • rozmer obrazovky: - 
 • max. nosnosť: 15 kg 
 • automatické zafixovanie, rýchle uvoľnenie: nie 
 • sklopiteľný: +/- 25° 
 • možnosť otáčania vo viacerých smeroch: áno 
 • zabudovaná vodováha: nie 
 • VESA: 75 x75, 100 x 100 
 • rozmery: -</t>
        </is>
      </c>
    </row>
    <row r="1595">
      <c r="A1595" s="3" t="inlineStr">
        <is>
          <t>LCDH 081</t>
        </is>
      </c>
      <c r="B1595" s="2" t="inlineStr">
        <is>
          <t>Nástenná konzola 32"-55", fixná</t>
        </is>
      </c>
      <c r="C1595" s="1" t="n">
        <v>11.99</v>
      </c>
      <c r="D1595" s="7" t="n">
        <f>HYPERLINK("https://www.somogyi.sk/product/nastenna-konzola-32-55-fixna-lcdh-081-18108","https://www.somogyi.sk/product/nastenna-konzola-32-55-fixna-lcdh-081-18108")</f>
        <v>0.0</v>
      </c>
      <c r="E1595" s="7" t="n">
        <f>HYPERLINK("https://www.somogyi.sk/productimages/product_main_images/small/18108.jpg","https://www.somogyi.sk/productimages/product_main_images/small/18108.jpg")</f>
        <v>0.0</v>
      </c>
      <c r="F1595" s="2" t="inlineStr">
        <is>
          <t>5999084961305</t>
        </is>
      </c>
      <c r="G1595" s="4" t="inlineStr">
        <is>
          <t xml:space="preserve"> • materiál: kovové 
 • rozmer obrazovky: 32" - 55" 
 • max. nosnosť: 45 kg 
 • VESA: 75x75,100x100,100x150,150x100,100x200,200x100,150x150,200x200,300x200,400x200,300x300,400x300,400x400</t>
        </is>
      </c>
    </row>
    <row r="1596">
      <c r="A1596" s="3" t="inlineStr">
        <is>
          <t>LCDH 07</t>
        </is>
      </c>
      <c r="B1596" s="2" t="inlineStr">
        <is>
          <t>Nástenná konzola 23"-42", fixná</t>
        </is>
      </c>
      <c r="C1596" s="1" t="n">
        <v>11.99</v>
      </c>
      <c r="D1596" s="7" t="n">
        <f>HYPERLINK("https://www.somogyi.sk/product/nastenna-konzola-23-42-fixna-lcdh-07-14590","https://www.somogyi.sk/product/nastenna-konzola-23-42-fixna-lcdh-07-14590")</f>
        <v>0.0</v>
      </c>
      <c r="E1596" s="7" t="n">
        <f>HYPERLINK("https://www.somogyi.sk/productimages/product_main_images/small/14590.jpg","https://www.somogyi.sk/productimages/product_main_images/small/14590.jpg")</f>
        <v>0.0</v>
      </c>
      <c r="F1596" s="2" t="inlineStr">
        <is>
          <t>5999084926328</t>
        </is>
      </c>
      <c r="G1596" s="4" t="inlineStr">
        <is>
          <t xml:space="preserve"> • materiál: kov 
 • rozmer obrazovky: 23" - 42" 
 • max. nosnosť: 30 kg 
 • automatické zafixovanie, rýchle uvoľnenie: áno 
 • sklopiteľný: nie 
 • možnosť otáčania vo viacerých smeroch: nie 
 • zabudovaná vodováha: áno 
 • VESA: 75 x 75, 100 x 100, 200 x 100, 200 x 200 
 • rozmery: -</t>
        </is>
      </c>
    </row>
    <row r="1597">
      <c r="A1597" s="3" t="inlineStr">
        <is>
          <t>LCDH 18</t>
        </is>
      </c>
      <c r="B1597" s="2" t="inlineStr">
        <is>
          <t>Nástenná konzola 32"-55", nakloniteľná</t>
        </is>
      </c>
      <c r="C1597" s="1" t="n">
        <v>18.49</v>
      </c>
      <c r="D1597" s="7" t="n">
        <f>HYPERLINK("https://www.somogyi.sk/product/nastenna-konzola-32-55-naklonitelna-lcdh-18-14588","https://www.somogyi.sk/product/nastenna-konzola-32-55-naklonitelna-lcdh-18-14588")</f>
        <v>0.0</v>
      </c>
      <c r="E1597" s="7" t="n">
        <f>HYPERLINK("https://www.somogyi.sk/productimages/product_main_images/small/14588.jpg","https://www.somogyi.sk/productimages/product_main_images/small/14588.jpg")</f>
        <v>0.0</v>
      </c>
      <c r="F1597" s="2" t="inlineStr">
        <is>
          <t>5999084926304</t>
        </is>
      </c>
      <c r="G1597" s="4" t="inlineStr">
        <is>
          <t xml:space="preserve"> • materiál: kov 
 • rozmer obrazovky: 32" - 55" 
 • max. nosnosť: 40 kg 
 • automatické zafixovanie, rýchle uvoľnenie: nie 
 • sklopiteľný: +/- 12° 
 • možnosť otáčania vo viacerých smeroch: nie 
 • zabudovaná vodováha: áno 
 • VESA: 200 x 200, 400 x 200, 300 x 300, 400 x 400 
 • rozmery: -</t>
        </is>
      </c>
    </row>
    <row r="1598">
      <c r="A1598" s="3" t="inlineStr">
        <is>
          <t>LCDH 291</t>
        </is>
      </c>
      <c r="B1598" s="2" t="inlineStr">
        <is>
          <t>Nástenná konzola 23"-55", FULL MOTION</t>
        </is>
      </c>
      <c r="C1598" s="1" t="n">
        <v>25.99</v>
      </c>
      <c r="D1598" s="7" t="n">
        <f>HYPERLINK("https://www.somogyi.sk/product/nastenna-konzola-23-55-full-motion-lcdh-291-18110","https://www.somogyi.sk/product/nastenna-konzola-23-55-full-motion-lcdh-291-18110")</f>
        <v>0.0</v>
      </c>
      <c r="E1598" s="7" t="n">
        <f>HYPERLINK("https://www.somogyi.sk/productimages/product_main_images/small/18110.jpg","https://www.somogyi.sk/productimages/product_main_images/small/18110.jpg")</f>
        <v>0.0</v>
      </c>
      <c r="F1598" s="2" t="inlineStr">
        <is>
          <t>5999084961329</t>
        </is>
      </c>
      <c r="G1598" s="4" t="inlineStr">
        <is>
          <t xml:space="preserve"> • materiál: kovové 
 • rozmer obrazovky: 23" - 55" 
 • max. nosnosť: 30 kg 
 •  
 • VESA: 100x100,100x200,200x100,200x200,300x200,400x200,300x300,400x300,400x400</t>
        </is>
      </c>
    </row>
    <row r="1599">
      <c r="A1599" s="6" t="inlineStr">
        <is>
          <t xml:space="preserve">   Bytové doplnky / Nabíjačka  akumulátorov, tester batérií</t>
        </is>
      </c>
      <c r="B1599" s="6" t="inlineStr">
        <is>
          <t/>
        </is>
      </c>
      <c r="C1599" s="6" t="inlineStr">
        <is>
          <t/>
        </is>
      </c>
      <c r="D1599" s="6" t="inlineStr">
        <is>
          <t/>
        </is>
      </c>
      <c r="E1599" s="6" t="inlineStr">
        <is>
          <t/>
        </is>
      </c>
      <c r="F1599" s="6" t="inlineStr">
        <is>
          <t/>
        </is>
      </c>
      <c r="G1599" s="6" t="inlineStr">
        <is>
          <t/>
        </is>
      </c>
    </row>
    <row r="1600">
      <c r="A1600" s="3" t="inlineStr">
        <is>
          <t>ET 3</t>
        </is>
      </c>
      <c r="B1600" s="2" t="inlineStr">
        <is>
          <t>Tester batérií</t>
        </is>
      </c>
      <c r="C1600" s="1" t="n">
        <v>6.39</v>
      </c>
      <c r="D1600" s="7" t="n">
        <f>HYPERLINK("https://www.somogyi.sk/product/tester-baterii-et-3-11998","https://www.somogyi.sk/product/tester-baterii-et-3-11998")</f>
        <v>0.0</v>
      </c>
      <c r="E1600" s="7" t="n">
        <f>HYPERLINK("https://www.somogyi.sk/productimages/product_main_images/small/11998.jpg","https://www.somogyi.sk/productimages/product_main_images/small/11998.jpg")</f>
        <v>0.0</v>
      </c>
      <c r="F1600" s="2" t="inlineStr">
        <is>
          <t>5999084902100</t>
        </is>
      </c>
      <c r="G1600" s="4" t="inlineStr">
        <is>
          <t xml:space="preserve"> • rozmery akumulátorov: AA / AAA / C / D / 9 V      / 1,5 V -gombíková batéria 
 • počet súčasne nabíjaných akumulátorov: - 
 • tester akumulátorov: s analógovým prístrojom 
 • rozmery: 110 x 60 x 25 mm</t>
        </is>
      </c>
    </row>
    <row r="1601">
      <c r="A1601" s="3" t="inlineStr">
        <is>
          <t>SBC 2</t>
        </is>
      </c>
      <c r="B1601" s="2" t="inlineStr">
        <is>
          <t>Nabíjačka akumulátora</t>
        </is>
      </c>
      <c r="C1601" s="1" t="n">
        <v>25.99</v>
      </c>
      <c r="D1601" s="7" t="n">
        <f>HYPERLINK("https://www.somogyi.sk/product/nabijacka-akumulatora-sbc-2-17947","https://www.somogyi.sk/product/nabijacka-akumulatora-sbc-2-17947")</f>
        <v>0.0</v>
      </c>
      <c r="E1601" s="7" t="n">
        <f>HYPERLINK("https://www.somogyi.sk/productimages/product_main_images/small/17947.jpg","https://www.somogyi.sk/productimages/product_main_images/small/17947.jpg")</f>
        <v>0.0</v>
      </c>
      <c r="F1601" s="2" t="inlineStr">
        <is>
          <t>5999084959692</t>
        </is>
      </c>
      <c r="G1601" s="4" t="inlineStr">
        <is>
          <t xml:space="preserve"> • nabíjateľné akumulátory: Li-ion / Ni-Mh 
 • rozmery akumulátorov: Li-ion 3,7 V: 10400, 14500, 16340, 17670, 18350, 18500, 18650, 26650 • Ni-MH/Ni-Cd 3,7 V: AA, AAA, AAAA, C 
 • počet súčasne nabíjaných akumulátorov: 2 ks 
 • nabíjací prúd: Li-ion x1: 0,5 A / 1 A / 2 A • Li-ion x2: 0,5 A / 1 A • Ni-MH/Ni-Cd: 0,5 A 
 • napájanie: 5 V , 2000 mA (micro USB - USB A kábel je príslušenstvom) 
 • rozmery: 131 x 68,2 x 38,5 mm 
 • hmotnosť: 109 g 
 • ochrana proti skratu: áno 
 • prepäťová ochrana: áno 
 • N/A: áno 
 • funkcia: powerbank funkcia 
 • ďalšie informácie: zariadenie automaticky rozpozná typ pripojených akumulátorov a podľa toho zvolí vhodné napätie a predvolený nabíjací prúd</t>
        </is>
      </c>
    </row>
    <row r="1602">
      <c r="A1602" s="6" t="inlineStr">
        <is>
          <t xml:space="preserve">   Bytové doplnky / Akumulátor</t>
        </is>
      </c>
      <c r="B1602" s="6" t="inlineStr">
        <is>
          <t/>
        </is>
      </c>
      <c r="C1602" s="6" t="inlineStr">
        <is>
          <t/>
        </is>
      </c>
      <c r="D1602" s="6" t="inlineStr">
        <is>
          <t/>
        </is>
      </c>
      <c r="E1602" s="6" t="inlineStr">
        <is>
          <t/>
        </is>
      </c>
      <c r="F1602" s="6" t="inlineStr">
        <is>
          <t/>
        </is>
      </c>
      <c r="G1602" s="6" t="inlineStr">
        <is>
          <t/>
        </is>
      </c>
    </row>
    <row r="1603">
      <c r="A1603" s="3" t="inlineStr">
        <is>
          <t>56706</t>
        </is>
      </c>
      <c r="B1603" s="2" t="inlineStr">
        <is>
          <t>AA akumulátor 2100 mAh 4 ks/balenie</t>
        </is>
      </c>
      <c r="C1603" s="1" t="n">
        <v>4.49</v>
      </c>
      <c r="D1603" s="7" t="n">
        <f>HYPERLINK("https://www.somogyi.sk/product/aa-akumulator-2100-mah-4-ks-balenie-56706-17897","https://www.somogyi.sk/product/aa-akumulator-2100-mah-4-ks-balenie-56706-17897")</f>
        <v>0.0</v>
      </c>
      <c r="E1603" s="7" t="n">
        <f>HYPERLINK("https://www.somogyi.sk/productimages/product_main_images/small/17897.jpg","https://www.somogyi.sk/productimages/product_main_images/small/17897.jpg")</f>
        <v>0.0</v>
      </c>
      <c r="F1603" s="2" t="inlineStr">
        <is>
          <t>4008496550692</t>
        </is>
      </c>
      <c r="G1603" s="4" t="inlineStr">
        <is>
          <t xml:space="preserve"> • technológia akumulátora: NiMH RTU 
 • kapacita: 2100 mAh 
 • rozmery: AA 
 • balenie: 4 ks / blister 
 • ďalšie informácie: Cena platí na 1 akumulátor.</t>
        </is>
      </c>
    </row>
    <row r="1604">
      <c r="A1604" s="3" t="inlineStr">
        <is>
          <t>M 302AAA</t>
        </is>
      </c>
      <c r="B1604" s="2" t="inlineStr">
        <is>
          <t>AAA akumulátor 300mAh,NiMh, 2 ks/blister</t>
        </is>
      </c>
      <c r="C1604" s="1" t="n">
        <v>1.35</v>
      </c>
      <c r="D1604" s="7" t="n">
        <f>HYPERLINK("https://www.somogyi.sk/product/aaa-akumulator-300mah-nimh-2-ks-blister-m-302aaa-17950","https://www.somogyi.sk/product/aaa-akumulator-300mah-nimh-2-ks-blister-m-302aaa-17950")</f>
        <v>0.0</v>
      </c>
      <c r="E1604" s="7" t="n">
        <f>HYPERLINK("https://www.somogyi.sk/productimages/product_main_images/small/17950.jpg","https://www.somogyi.sk/productimages/product_main_images/small/17950.jpg")</f>
        <v>0.0</v>
      </c>
      <c r="F1604" s="2" t="inlineStr">
        <is>
          <t>5999084959722</t>
        </is>
      </c>
      <c r="G1604" s="4" t="inlineStr">
        <is>
          <t xml:space="preserve"> • technológia akumulátora: NiMH 
 • napätie: 1,2 V 
 • kapacita: 300 mAh 
 •  
 • balenie: 2 ks / blister</t>
        </is>
      </c>
    </row>
    <row r="1605">
      <c r="A1605" s="3" t="inlineStr">
        <is>
          <t>M 700AAA</t>
        </is>
      </c>
      <c r="B1605" s="2" t="inlineStr">
        <is>
          <t>Akumulátor, AAA, 700mA, Ni-Mh, 4ks/blister</t>
        </is>
      </c>
      <c r="C1605" s="1" t="n">
        <v>6.99</v>
      </c>
      <c r="D1605" s="7" t="n">
        <f>HYPERLINK("https://www.somogyi.sk/product/akumulator-aaa-700ma-ni-mh-4ks-blister-m-700aaa-4675","https://www.somogyi.sk/product/akumulator-aaa-700ma-ni-mh-4ks-blister-m-700aaa-4675")</f>
        <v>0.0</v>
      </c>
      <c r="E1605" s="7" t="n">
        <f>HYPERLINK("https://www.somogyi.sk/productimages/product_main_images/small/04675.jpg","https://www.somogyi.sk/productimages/product_main_images/small/04675.jpg")</f>
        <v>0.0</v>
      </c>
      <c r="F1605" s="2" t="inlineStr">
        <is>
          <t>5998312741269</t>
        </is>
      </c>
      <c r="G1605" s="4" t="inlineStr">
        <is>
          <t xml:space="preserve"> • technológia akumulátora: NiMH 
 • napätie: 1,2 V 
 • kapacita: 700 mAh 
 • rozmery: AAA</t>
        </is>
      </c>
    </row>
    <row r="1606">
      <c r="A1606" s="3" t="inlineStr">
        <is>
          <t>RT 1245E</t>
        </is>
      </c>
      <c r="B1606" s="2" t="inlineStr">
        <is>
          <t>Olovený akumulátor, 12 V / 4,5 Ah</t>
        </is>
      </c>
      <c r="C1606" s="1" t="n">
        <v>23.99</v>
      </c>
      <c r="D1606" s="7" t="n">
        <f>HYPERLINK("https://www.somogyi.sk/product/oloveny-akumulator-12-v-4-5-ah-rt-1245e-8519","https://www.somogyi.sk/product/oloveny-akumulator-12-v-4-5-ah-rt-1245e-8519")</f>
        <v>0.0</v>
      </c>
      <c r="E1606" s="7" t="n">
        <f>HYPERLINK("https://www.somogyi.sk/productimages/product_main_images/small/08519.jpg","https://www.somogyi.sk/productimages/product_main_images/small/08519.jpg")</f>
        <v>0.0</v>
      </c>
      <c r="F1606" s="2" t="inlineStr">
        <is>
          <t>5998312774151</t>
        </is>
      </c>
      <c r="G1606" s="4" t="inlineStr">
        <is>
          <t xml:space="preserve"> • technológia akumulátora: uzavretá, olovená 
 • napätie: 12 V 
 • kapacita: 4,5 Ah 
 • rozmery: 90 x 70 x 101 mm</t>
        </is>
      </c>
    </row>
    <row r="1607">
      <c r="A1607" s="3" t="inlineStr">
        <is>
          <t>RT 12120</t>
        </is>
      </c>
      <c r="B1607" s="2" t="inlineStr">
        <is>
          <t>Olovený akumulátor, 12 V / 12 Ah</t>
        </is>
      </c>
      <c r="C1607" s="1" t="n">
        <v>57.99</v>
      </c>
      <c r="D1607" s="7" t="n">
        <f>HYPERLINK("https://www.somogyi.sk/product/oloveny-akumulator-12-v-12-ah-rt-12120-8521","https://www.somogyi.sk/product/oloveny-akumulator-12-v-12-ah-rt-12120-8521")</f>
        <v>0.0</v>
      </c>
      <c r="E1607" s="7" t="n">
        <f>HYPERLINK("https://www.somogyi.sk/productimages/product_main_images/small/08521.jpg","https://www.somogyi.sk/productimages/product_main_images/small/08521.jpg")</f>
        <v>0.0</v>
      </c>
      <c r="F1607" s="2" t="inlineStr">
        <is>
          <t>5998312774175</t>
        </is>
      </c>
      <c r="G1607" s="4" t="inlineStr">
        <is>
          <t xml:space="preserve"> • technológia akumulátora: uzavretá, olovená 
 • napätie: 12 V 
 • kapacita: 12 Ah 
 • rozmery: 151 x 98 x 95 mm</t>
        </is>
      </c>
    </row>
    <row r="1608">
      <c r="A1608" s="3" t="inlineStr">
        <is>
          <t>M 702AA</t>
        </is>
      </c>
      <c r="B1608" s="2" t="inlineStr">
        <is>
          <t>AA akumulátor 700mAh,NiMh, 2 ks/blister</t>
        </is>
      </c>
      <c r="C1608" s="1" t="n">
        <v>1.99</v>
      </c>
      <c r="D1608" s="7" t="n">
        <f>HYPERLINK("https://www.somogyi.sk/product/aa-akumulator-700mah-nimh-2-ks-blister-m-702aa-17951","https://www.somogyi.sk/product/aa-akumulator-700mah-nimh-2-ks-blister-m-702aa-17951")</f>
        <v>0.0</v>
      </c>
      <c r="E1608" s="7" t="n">
        <f>HYPERLINK("https://www.somogyi.sk/productimages/product_main_images/small/17951.jpg","https://www.somogyi.sk/productimages/product_main_images/small/17951.jpg")</f>
        <v>0.0</v>
      </c>
      <c r="F1608" s="2" t="inlineStr">
        <is>
          <t>5999084959739</t>
        </is>
      </c>
      <c r="G1608" s="4" t="inlineStr">
        <is>
          <t xml:space="preserve"> • technológia akumulátora: NiMH 
 • napätie: 1,2 V 
 • kapacita: 700 mAh 
 • rozmery: tužková 
 • balenie: 2 ks / blister</t>
        </is>
      </c>
    </row>
    <row r="1609">
      <c r="A1609" s="3" t="inlineStr">
        <is>
          <t>56733</t>
        </is>
      </c>
      <c r="B1609" s="2" t="inlineStr">
        <is>
          <t>AAA akumulátor 550 mAh 2 ks/balenie</t>
        </is>
      </c>
      <c r="C1609" s="1" t="n">
        <v>3.69</v>
      </c>
      <c r="D1609" s="7" t="n">
        <f>HYPERLINK("https://www.somogyi.sk/product/aaa-akumulator-550-mah-2-ks-balenie-56733-17894","https://www.somogyi.sk/product/aaa-akumulator-550-mah-2-ks-balenie-56733-17894")</f>
        <v>0.0</v>
      </c>
      <c r="E1609" s="7" t="n">
        <f>HYPERLINK("https://www.somogyi.sk/productimages/product_main_images/small/17894.jpg","https://www.somogyi.sk/productimages/product_main_images/small/17894.jpg")</f>
        <v>0.0</v>
      </c>
      <c r="F1609" s="2" t="inlineStr">
        <is>
          <t>4008496808083</t>
        </is>
      </c>
      <c r="G1609" s="4" t="inlineStr">
        <is>
          <t xml:space="preserve"> • technológia akumulátora: NiMH 
 • kapacita: 550 mAh 
 • rozmery: AAA 
 • balenie: 2 ks / blister 
 • ďalšie informácie: Cena platí na 1 akumulátor.</t>
        </is>
      </c>
    </row>
    <row r="1610">
      <c r="A1610" s="3" t="inlineStr">
        <is>
          <t>RT 645</t>
        </is>
      </c>
      <c r="B1610" s="2" t="inlineStr">
        <is>
          <t>Olovený akumulátor 6 V / 4,5 Ah</t>
        </is>
      </c>
      <c r="C1610" s="1" t="n">
        <v>14.99</v>
      </c>
      <c r="D1610" s="7" t="n">
        <f>HYPERLINK("https://www.somogyi.sk/product/oloveny-akumulator-6-v-4-5-ah-rt-645-8515","https://www.somogyi.sk/product/oloveny-akumulator-6-v-4-5-ah-rt-645-8515")</f>
        <v>0.0</v>
      </c>
      <c r="E1610" s="7" t="n">
        <f>HYPERLINK("https://www.somogyi.sk/productimages/product_main_images/small/08515.jpg","https://www.somogyi.sk/productimages/product_main_images/small/08515.jpg")</f>
        <v>0.0</v>
      </c>
      <c r="F1610" s="2" t="inlineStr">
        <is>
          <t>5998312774120</t>
        </is>
      </c>
      <c r="G1610" s="4" t="inlineStr">
        <is>
          <t xml:space="preserve"> • technológia akumulátora: uzavretá, olovená 
 • napätie: 6 V 
 • kapacita: 4,5 Ah 
 • rozmery: 70 x 47 x 101 mm</t>
        </is>
      </c>
    </row>
    <row r="1611">
      <c r="A1611" s="3" t="inlineStr">
        <is>
          <t>56736</t>
        </is>
      </c>
      <c r="B1611" s="2" t="inlineStr">
        <is>
          <t>AA akumulátor 800 mAh 2 ks/balenie</t>
        </is>
      </c>
      <c r="C1611" s="1" t="n">
        <v>2.89</v>
      </c>
      <c r="D1611" s="7" t="n">
        <f>HYPERLINK("https://www.somogyi.sk/product/aa-akumulator-800-mah-2-ks-balenie-56736-17896","https://www.somogyi.sk/product/aa-akumulator-800-mah-2-ks-balenie-56736-17896")</f>
        <v>0.0</v>
      </c>
      <c r="E1611" s="7" t="n">
        <f>HYPERLINK("https://www.somogyi.sk/productimages/product_main_images/small/17896.jpg","https://www.somogyi.sk/productimages/product_main_images/small/17896.jpg")</f>
        <v>0.0</v>
      </c>
      <c r="F1611" s="2" t="inlineStr">
        <is>
          <t>4008496658688</t>
        </is>
      </c>
      <c r="G1611" s="4" t="inlineStr">
        <is>
          <t xml:space="preserve"> • technológia akumulátora: NiMH 
 • kapacita: 800 mAh 
 • rozmery: AA 
 • balenie: 2 ks / blister 
 • ďalšie informácie: Cena platí na 1 akumulátor.</t>
        </is>
      </c>
    </row>
    <row r="1612">
      <c r="A1612" s="3" t="inlineStr">
        <is>
          <t>RT 1280</t>
        </is>
      </c>
      <c r="B1612" s="2" t="inlineStr">
        <is>
          <t>Olovený akumulátor 12V/8,0Ah</t>
        </is>
      </c>
      <c r="C1612" s="1" t="n">
        <v>38.99</v>
      </c>
      <c r="D1612" s="7" t="n">
        <f>HYPERLINK("https://www.somogyi.sk/product/oloveny-akumulator-12v-8-0ah-rt-1280-17597","https://www.somogyi.sk/product/oloveny-akumulator-12v-8-0ah-rt-1280-17597")</f>
        <v>0.0</v>
      </c>
      <c r="E1612" s="7" t="n">
        <f>HYPERLINK("https://www.somogyi.sk/productimages/product_main_images/small/17597.jpg","https://www.somogyi.sk/productimages/product_main_images/small/17597.jpg")</f>
        <v>0.0</v>
      </c>
      <c r="F1612" s="2" t="inlineStr">
        <is>
          <t>5999084956196</t>
        </is>
      </c>
      <c r="G1612" s="4" t="inlineStr">
        <is>
          <t xml:space="preserve"> • napätie: 12 V 
 • kapacita: 8 Ah 
 • rozmery: 151 x 65 x 100 mm</t>
        </is>
      </c>
    </row>
    <row r="1613">
      <c r="A1613" s="3" t="inlineStr">
        <is>
          <t>5703</t>
        </is>
      </c>
      <c r="B1613" s="2" t="inlineStr">
        <is>
          <t>AAA akumulátor 1000 mAh 4 ks/balenie</t>
        </is>
      </c>
      <c r="C1613" s="1" t="n">
        <v>4.79</v>
      </c>
      <c r="D1613" s="7" t="n">
        <f>HYPERLINK("https://www.somogyi.sk/product/aaa-akumulator-1000-mah-4-ks-balenie-5703-17895","https://www.somogyi.sk/product/aaa-akumulator-1000-mah-4-ks-balenie-5703-17895")</f>
        <v>0.0</v>
      </c>
      <c r="E1613" s="7" t="n">
        <f>HYPERLINK("https://www.somogyi.sk/productimages/product_main_images/small/17895.jpg","https://www.somogyi.sk/productimages/product_main_images/small/17895.jpg")</f>
        <v>0.0</v>
      </c>
      <c r="F1613" s="2" t="inlineStr">
        <is>
          <t>4008496594375</t>
        </is>
      </c>
      <c r="G1613" s="4" t="inlineStr">
        <is>
          <t xml:space="preserve"> • 1000 mAh kapacita                                         
 • NiMH                                                              
 • RTU - Ready To Use - nabitý a pripravený na použitie                                 
 • 4 ks / blister 
 • Uvedená cena platí pre 1 kus.</t>
        </is>
      </c>
    </row>
    <row r="1614">
      <c r="A1614" s="6" t="inlineStr">
        <is>
          <t xml:space="preserve">   Bytové doplnky / Batéria</t>
        </is>
      </c>
      <c r="B1614" s="6" t="inlineStr">
        <is>
          <t/>
        </is>
      </c>
      <c r="C1614" s="6" t="inlineStr">
        <is>
          <t/>
        </is>
      </c>
      <c r="D1614" s="6" t="inlineStr">
        <is>
          <t/>
        </is>
      </c>
      <c r="E1614" s="6" t="inlineStr">
        <is>
          <t/>
        </is>
      </c>
      <c r="F1614" s="6" t="inlineStr">
        <is>
          <t/>
        </is>
      </c>
      <c r="G1614" s="6" t="inlineStr">
        <is>
          <t/>
        </is>
      </c>
    </row>
    <row r="1615">
      <c r="A1615" s="3" t="inlineStr">
        <is>
          <t>VARTA CR123</t>
        </is>
      </c>
      <c r="B1615" s="2" t="inlineStr">
        <is>
          <t>CR123 Varta batéria, lítiová, 3 V</t>
        </is>
      </c>
      <c r="C1615" s="1" t="n">
        <v>4.59</v>
      </c>
      <c r="D1615" s="7" t="n">
        <f>HYPERLINK("https://www.somogyi.sk/product/cr123-varta-bateria-litiova-3-v-varta-cr123-16410","https://www.somogyi.sk/product/cr123-varta-bateria-litiova-3-v-varta-cr123-16410")</f>
        <v>0.0</v>
      </c>
      <c r="E1615" s="7" t="n">
        <f>HYPERLINK("https://www.somogyi.sk/productimages/product_main_images/small/16410.jpg","https://www.somogyi.sk/productimages/product_main_images/small/16410.jpg")</f>
        <v>0.0</v>
      </c>
      <c r="F1615" s="2" t="inlineStr">
        <is>
          <t>4008496537280</t>
        </is>
      </c>
      <c r="G1615" s="4" t="inlineStr">
        <is>
          <t xml:space="preserve"> • lítiová: áno 
 • rozmery: batéria (CR123) 
 • napätie: 3 V 
 • vyhotovenie: 1 ks / blister</t>
        </is>
      </c>
    </row>
    <row r="1616">
      <c r="A1616" s="3" t="inlineStr">
        <is>
          <t>VARTA V23GA LR23</t>
        </is>
      </c>
      <c r="B1616" s="2" t="inlineStr">
        <is>
          <t>LR23 Varta 12 V batéria, alkalická</t>
        </is>
      </c>
      <c r="C1616" s="1" t="n">
        <v>1.59</v>
      </c>
      <c r="D1616" s="7" t="n">
        <f>HYPERLINK("https://www.somogyi.sk/product/lr23-varta-12-v-bateria-alkalicka-varta-v23ga-lr23-16409","https://www.somogyi.sk/product/lr23-varta-12-v-bateria-alkalicka-varta-v23ga-lr23-16409")</f>
        <v>0.0</v>
      </c>
      <c r="E1616" s="7" t="n">
        <f>HYPERLINK("https://www.somogyi.sk/productimages/product_main_images/small/16409.jpg","https://www.somogyi.sk/productimages/product_main_images/small/16409.jpg")</f>
        <v>0.0</v>
      </c>
      <c r="F1616" s="2" t="inlineStr">
        <is>
          <t>4008496261628</t>
        </is>
      </c>
      <c r="G1616" s="4" t="inlineStr">
        <is>
          <t xml:space="preserve"> • alkalická: áno 
 • rozmery: batéria (CR123) 
 • napätie: 12 V 
 • vyhotovenie: 1 ks / blister</t>
        </is>
      </c>
    </row>
    <row r="1617">
      <c r="A1617" s="3" t="inlineStr">
        <is>
          <t>VARTA CR2450</t>
        </is>
      </c>
      <c r="B1617" s="2" t="inlineStr">
        <is>
          <t>CR2450 Varta 3 V gombíková batéria, lítiová</t>
        </is>
      </c>
      <c r="C1617" s="1" t="n">
        <v>3.69</v>
      </c>
      <c r="D1617" s="7" t="n">
        <f>HYPERLINK("https://www.somogyi.sk/product/cr2450-varta-3-v-gombikova-bateria-litiova-varta-cr2450-16407","https://www.somogyi.sk/product/cr2450-varta-3-v-gombikova-bateria-litiova-varta-cr2450-16407")</f>
        <v>0.0</v>
      </c>
      <c r="E1617" s="7" t="n">
        <f>HYPERLINK("https://www.somogyi.sk/productimages/product_main_images/small/16407.jpg","https://www.somogyi.sk/productimages/product_main_images/small/16407.jpg")</f>
        <v>0.0</v>
      </c>
      <c r="F1617" s="2" t="inlineStr">
        <is>
          <t>4008496270972</t>
        </is>
      </c>
      <c r="G1617" s="4" t="inlineStr">
        <is>
          <t xml:space="preserve"> • lítiová: áno 
 • rozmery: gombíková batéria (CR2450) 
 • napätie: 3 V 
 • vyhotovenie: 1 ks / blister</t>
        </is>
      </c>
    </row>
    <row r="1618">
      <c r="A1618" s="3" t="inlineStr">
        <is>
          <t>VARTA CR2430</t>
        </is>
      </c>
      <c r="B1618" s="2" t="inlineStr">
        <is>
          <t>CR2430 Varta 3 V gombíková batéria, lítiová</t>
        </is>
      </c>
      <c r="C1618" s="1" t="n">
        <v>2.29</v>
      </c>
      <c r="D1618" s="7" t="n">
        <f>HYPERLINK("https://www.somogyi.sk/product/cr2430-varta-3-v-gombikova-bateria-litiova-varta-cr2430-16406","https://www.somogyi.sk/product/cr2430-varta-3-v-gombikova-bateria-litiova-varta-cr2430-16406")</f>
        <v>0.0</v>
      </c>
      <c r="E1618" s="7" t="n">
        <f>HYPERLINK("https://www.somogyi.sk/productimages/product_main_images/small/16406.jpg","https://www.somogyi.sk/productimages/product_main_images/small/16406.jpg")</f>
        <v>0.0</v>
      </c>
      <c r="F1618" s="2" t="inlineStr">
        <is>
          <t>4008496276929</t>
        </is>
      </c>
      <c r="G1618" s="4" t="inlineStr">
        <is>
          <t xml:space="preserve"> • lítiová: áno 
 • rozmery: gombíková batéria (CR2430) 
 • napätie: 3 V 
 • vyhotovenie: 1 ks / blister</t>
        </is>
      </c>
    </row>
    <row r="1619">
      <c r="A1619" s="3" t="inlineStr">
        <is>
          <t>VARTA CR1220</t>
        </is>
      </c>
      <c r="B1619" s="2" t="inlineStr">
        <is>
          <t>CR1220 Varta 3 V gombíková batéria, lítiová</t>
        </is>
      </c>
      <c r="C1619" s="1" t="n">
        <v>1.99</v>
      </c>
      <c r="D1619" s="7" t="n">
        <f>HYPERLINK("https://www.somogyi.sk/product/cr1220-varta-3-v-gombikova-bateria-litiova-varta-cr1220-16403","https://www.somogyi.sk/product/cr1220-varta-3-v-gombikova-bateria-litiova-varta-cr1220-16403")</f>
        <v>0.0</v>
      </c>
      <c r="E1619" s="7" t="n">
        <f>HYPERLINK("https://www.somogyi.sk/productimages/product_main_images/small/16403.jpg","https://www.somogyi.sk/productimages/product_main_images/small/16403.jpg")</f>
        <v>0.0</v>
      </c>
      <c r="F1619" s="2" t="inlineStr">
        <is>
          <t>4008496276899</t>
        </is>
      </c>
      <c r="G1619" s="4" t="inlineStr">
        <is>
          <t xml:space="preserve"> • lítiová: áno 
 • rozmery: gombíková batéria (CR1220) 
 • napätie: 3 V 
 • vyhotovenie: 1 ks / blister</t>
        </is>
      </c>
    </row>
    <row r="1620">
      <c r="A1620" s="3" t="inlineStr">
        <is>
          <t>VARTA 3R12</t>
        </is>
      </c>
      <c r="B1620" s="2" t="inlineStr">
        <is>
          <t>3R12 Varta plochá batéria, polotrvalá, 4,5 V</t>
        </is>
      </c>
      <c r="C1620" s="1" t="n">
        <v>2.69</v>
      </c>
      <c r="D1620" s="7" t="n">
        <f>HYPERLINK("https://www.somogyi.sk/product/3r12-varta-plocha-bateria-polotrvala-4-5-v-varta-3r12-16401","https://www.somogyi.sk/product/3r12-varta-plocha-bateria-polotrvala-4-5-v-varta-3r12-16401")</f>
        <v>0.0</v>
      </c>
      <c r="E1620" s="7" t="n">
        <f>HYPERLINK("https://www.somogyi.sk/productimages/product_main_images/small/16401.jpg","https://www.somogyi.sk/productimages/product_main_images/small/16401.jpg")</f>
        <v>0.0</v>
      </c>
      <c r="F1620" s="2" t="inlineStr">
        <is>
          <t>4008496556595</t>
        </is>
      </c>
      <c r="G1620" s="4" t="inlineStr">
        <is>
          <t xml:space="preserve"> • polotrvalá: áno 
 • napätie: 4,5 V 
 • vyhotovenie: 1 ks / balenie</t>
        </is>
      </c>
    </row>
    <row r="1621">
      <c r="A1621" s="3" t="inlineStr">
        <is>
          <t>Maxell LR1</t>
        </is>
      </c>
      <c r="B1621" s="2" t="inlineStr">
        <is>
          <t>1,5 V batéria, alkalická</t>
        </is>
      </c>
      <c r="C1621" s="1" t="n">
        <v>1.35</v>
      </c>
      <c r="D1621" s="7" t="n">
        <f>HYPERLINK("https://www.somogyi.sk/product/1-5-v-bateria-alkalicka-maxell-lr1-16399","https://www.somogyi.sk/product/1-5-v-bateria-alkalicka-maxell-lr1-16399")</f>
        <v>0.0</v>
      </c>
      <c r="E1621" s="7" t="n">
        <f>HYPERLINK("https://www.somogyi.sk/productimages/product_main_images/small/16399.jpg","https://www.somogyi.sk/productimages/product_main_images/small/16399.jpg")</f>
        <v>0.0</v>
      </c>
      <c r="F1621" s="2" t="inlineStr">
        <is>
          <t>4902580150266</t>
        </is>
      </c>
      <c r="G1621" s="4" t="inlineStr">
        <is>
          <t xml:space="preserve"> • alkalická: áno 
 • rozmery: LR 1 
 • napätie: 1,5 V 
 • vyhotovenie: 1 ks / blister</t>
        </is>
      </c>
    </row>
    <row r="1622">
      <c r="A1622" s="3" t="inlineStr">
        <is>
          <t>Maxell LR1130</t>
        </is>
      </c>
      <c r="B1622" s="2" t="inlineStr">
        <is>
          <t>Gombíková batéria, alkalická 1,5 V, LR54</t>
        </is>
      </c>
      <c r="C1622" s="1" t="n">
        <v>0.45</v>
      </c>
      <c r="D1622" s="7" t="n">
        <f>HYPERLINK("https://www.somogyi.sk/product/gombikova-bateria-alkalicka-1-5-v-lr54-maxell-lr1130-16398","https://www.somogyi.sk/product/gombikova-bateria-alkalicka-1-5-v-lr54-maxell-lr1130-16398")</f>
        <v>0.0</v>
      </c>
      <c r="E1622" s="7" t="n">
        <f>HYPERLINK("https://www.somogyi.sk/productimages/product_main_images/small/16398.jpg","https://www.somogyi.sk/productimages/product_main_images/small/16398.jpg")</f>
        <v>0.0</v>
      </c>
      <c r="F1622" s="2" t="inlineStr">
        <is>
          <t>4902580131425</t>
        </is>
      </c>
      <c r="G1622" s="4" t="inlineStr">
        <is>
          <t xml:space="preserve"> • alkalická: áno 
 • rozmery: gombíková batéria (LR1130) 
 • napätie: 1,5 V 
 • vyhotovenie: 10 ks / blister</t>
        </is>
      </c>
    </row>
    <row r="1623">
      <c r="A1623" s="3" t="inlineStr">
        <is>
          <t>Maxell LR44</t>
        </is>
      </c>
      <c r="B1623" s="2" t="inlineStr">
        <is>
          <t>Gombíková batéria, alkalická LR44</t>
        </is>
      </c>
      <c r="C1623" s="1" t="n">
        <v>0.49</v>
      </c>
      <c r="D1623" s="7" t="n">
        <f>HYPERLINK("https://www.somogyi.sk/product/gombikova-bateria-alkalicka-lr44-maxell-lr44-16371","https://www.somogyi.sk/product/gombikova-bateria-alkalicka-lr44-maxell-lr44-16371")</f>
        <v>0.0</v>
      </c>
      <c r="E1623" s="7" t="n">
        <f>HYPERLINK("https://www.somogyi.sk/productimages/product_main_images/small/16371.jpg","https://www.somogyi.sk/productimages/product_main_images/small/16371.jpg")</f>
        <v>0.0</v>
      </c>
      <c r="F1623" s="2" t="inlineStr">
        <is>
          <t>4902580131401</t>
        </is>
      </c>
      <c r="G1623" s="4" t="inlineStr">
        <is>
          <t xml:space="preserve"> • alkalická: áno 
 • rozmery: gombíková batéria (LR44) 
 • napätie: 1,5 V 
 • vyhotovenie: 10 ks / blister</t>
        </is>
      </c>
    </row>
    <row r="1624">
      <c r="A1624" s="3" t="inlineStr">
        <is>
          <t>Maxell LR03 4+2</t>
        </is>
      </c>
      <c r="B1624" s="2" t="inlineStr">
        <is>
          <t>AAA batéria, alkalická, 4   2 ks / blister</t>
        </is>
      </c>
      <c r="C1624" s="1" t="n">
        <v>3.09</v>
      </c>
      <c r="D1624" s="7" t="n">
        <f>HYPERLINK("https://www.somogyi.sk/product/aaa-bateria-alkalicka-4-2-ks-blister-maxell-lr03-4-2-16370","https://www.somogyi.sk/product/aaa-bateria-alkalicka-4-2-ks-blister-maxell-lr03-4-2-16370")</f>
        <v>0.0</v>
      </c>
      <c r="E1624" s="7" t="n">
        <f>HYPERLINK("https://www.somogyi.sk/productimages/product_main_images/small/16370.jpg","https://www.somogyi.sk/productimages/product_main_images/small/16370.jpg")</f>
        <v>0.0</v>
      </c>
      <c r="F1624" s="2" t="inlineStr">
        <is>
          <t>4902580164461</t>
        </is>
      </c>
      <c r="G1624" s="4" t="inlineStr">
        <is>
          <t xml:space="preserve"> • alkalická: áno 
 • rozmery: mini tužková batéria (AAA) 
 • napätie: 1,5 V 
 • vyhotovenie: 6 ks / blister</t>
        </is>
      </c>
    </row>
    <row r="1625">
      <c r="A1625" s="3" t="inlineStr">
        <is>
          <t>Maxell CR2032</t>
        </is>
      </c>
      <c r="B1625" s="2" t="inlineStr">
        <is>
          <t>Gombíková batéria, lítiová 3 V</t>
        </is>
      </c>
      <c r="C1625" s="1" t="n">
        <v>0.95</v>
      </c>
      <c r="D1625" s="7" t="n">
        <f>HYPERLINK("https://www.somogyi.sk/product/gombikova-bateria-litiova-3-v-maxell-cr2032-16365","https://www.somogyi.sk/product/gombikova-bateria-litiova-3-v-maxell-cr2032-16365")</f>
        <v>0.0</v>
      </c>
      <c r="E1625" s="7" t="n">
        <f>HYPERLINK("https://www.somogyi.sk/productimages/product_main_images/small/16365.jpg","https://www.somogyi.sk/productimages/product_main_images/small/16365.jpg")</f>
        <v>0.0</v>
      </c>
      <c r="F1625" s="2" t="inlineStr">
        <is>
          <t>4902580131258</t>
        </is>
      </c>
      <c r="G1625" s="4" t="inlineStr">
        <is>
          <t xml:space="preserve"> • lítiová: áno 
 • rozmery: gombíková batéria (CR2032) 
 • napätie: 3 V 
 • vyhotovenie: 5 ks / blister</t>
        </is>
      </c>
    </row>
    <row r="1626">
      <c r="A1626" s="3" t="inlineStr">
        <is>
          <t>Maxell CR2025</t>
        </is>
      </c>
      <c r="B1626" s="2" t="inlineStr">
        <is>
          <t>Gombíková batéria, lítiová 3 V</t>
        </is>
      </c>
      <c r="C1626" s="1" t="n">
        <v>0.95</v>
      </c>
      <c r="D1626" s="7" t="n">
        <f>HYPERLINK("https://www.somogyi.sk/product/gombikova-bateria-litiova-3-v-maxell-cr2025-16364","https://www.somogyi.sk/product/gombikova-bateria-litiova-3-v-maxell-cr2025-16364")</f>
        <v>0.0</v>
      </c>
      <c r="E1626" s="7" t="n">
        <f>HYPERLINK("https://www.somogyi.sk/productimages/product_main_images/small/16364.jpg","https://www.somogyi.sk/productimages/product_main_images/small/16364.jpg")</f>
        <v>0.0</v>
      </c>
      <c r="F1626" s="2" t="inlineStr">
        <is>
          <t>4902580131265</t>
        </is>
      </c>
      <c r="G1626" s="4" t="inlineStr">
        <is>
          <t xml:space="preserve"> • lítiová: áno 
 • rozmery: CR2025 
 • napätie: 3 V 
 • vyhotovenie: 5 ks / blister</t>
        </is>
      </c>
    </row>
    <row r="1627">
      <c r="A1627" s="3" t="inlineStr">
        <is>
          <t>Maxell CR2016</t>
        </is>
      </c>
      <c r="B1627" s="2" t="inlineStr">
        <is>
          <t>Gombíková batéria, lítiová 3 V</t>
        </is>
      </c>
      <c r="C1627" s="1" t="n">
        <v>0.95</v>
      </c>
      <c r="D1627" s="7" t="n">
        <f>HYPERLINK("https://www.somogyi.sk/product/gombikova-bateria-litiova-3-v-maxell-cr2016-16363","https://www.somogyi.sk/product/gombikova-bateria-litiova-3-v-maxell-cr2016-16363")</f>
        <v>0.0</v>
      </c>
      <c r="E1627" s="7" t="n">
        <f>HYPERLINK("https://www.somogyi.sk/productimages/product_main_images/small/16363.jpg","https://www.somogyi.sk/productimages/product_main_images/small/16363.jpg")</f>
        <v>0.0</v>
      </c>
      <c r="F1627" s="2" t="inlineStr">
        <is>
          <t>4902580131272</t>
        </is>
      </c>
      <c r="G1627" s="4" t="inlineStr">
        <is>
          <t xml:space="preserve"> • lítiová: áno 
 • rozmery: gombíková batéria (CR2016) 
 • napätie: 3 V 
 • vyhotovenie: 5 ks / blister</t>
        </is>
      </c>
    </row>
    <row r="1628">
      <c r="A1628" s="3" t="inlineStr">
        <is>
          <t>Maxell 6LR61</t>
        </is>
      </c>
      <c r="B1628" s="2" t="inlineStr">
        <is>
          <t>9 V batéria, alkalická</t>
        </is>
      </c>
      <c r="C1628" s="1" t="n">
        <v>2.49</v>
      </c>
      <c r="D1628" s="7" t="n">
        <f>HYPERLINK("https://www.somogyi.sk/product/9-v-bateria-alkalicka-maxell-6lr61-16362","https://www.somogyi.sk/product/9-v-bateria-alkalicka-maxell-6lr61-16362")</f>
        <v>0.0</v>
      </c>
      <c r="E1628" s="7" t="n">
        <f>HYPERLINK("https://www.somogyi.sk/productimages/product_main_images/small/16362.jpg","https://www.somogyi.sk/productimages/product_main_images/small/16362.jpg")</f>
        <v>0.0</v>
      </c>
      <c r="F1628" s="2" t="inlineStr">
        <is>
          <t>4902580150259</t>
        </is>
      </c>
      <c r="G1628" s="4" t="inlineStr">
        <is>
          <t xml:space="preserve"> • alkalická: áno 
 • rozmery: 9 V (6LR61) 
 • napätie: 9 V 
 • vyhotovenie: 1 ks / blister</t>
        </is>
      </c>
    </row>
    <row r="1629">
      <c r="A1629" s="3" t="inlineStr">
        <is>
          <t>Maxell LR03</t>
        </is>
      </c>
      <c r="B1629" s="2" t="inlineStr">
        <is>
          <t>AAA batéria, alkalická, 4 ks / blister</t>
        </is>
      </c>
      <c r="C1629" s="1" t="n">
        <v>2.09</v>
      </c>
      <c r="D1629" s="7" t="n">
        <f>HYPERLINK("https://www.somogyi.sk/product/aaa-bateria-alkalicka-4-ks-blister-maxell-lr03-16361","https://www.somogyi.sk/product/aaa-bateria-alkalicka-4-ks-blister-maxell-lr03-16361")</f>
        <v>0.0</v>
      </c>
      <c r="E1629" s="7" t="n">
        <f>HYPERLINK("https://www.somogyi.sk/productimages/product_main_images/small/16361.jpg","https://www.somogyi.sk/productimages/product_main_images/small/16361.jpg")</f>
        <v>0.0</v>
      </c>
      <c r="F1629" s="2" t="inlineStr">
        <is>
          <t>4902580164010</t>
        </is>
      </c>
      <c r="G1629" s="4" t="inlineStr">
        <is>
          <t xml:space="preserve"> • alkalická: áno 
 • rozmery: mini tužková batéria (AAA) 
 • napätie: 1,5 V 
 • vyhotovenie: 4 ks / blister</t>
        </is>
      </c>
    </row>
    <row r="1630">
      <c r="A1630" s="3" t="inlineStr">
        <is>
          <t>Maxell LR6 4+2</t>
        </is>
      </c>
      <c r="B1630" s="2" t="inlineStr">
        <is>
          <t>Tužková batéria (AA), alkalická, 4 2 / blister</t>
        </is>
      </c>
      <c r="C1630" s="1" t="n">
        <v>3.09</v>
      </c>
      <c r="D1630" s="7" t="n">
        <f>HYPERLINK("https://www.somogyi.sk/product/tuzkova-bateria-aa-alkalicka-4-2-blister-maxell-lr6-4-2-16360","https://www.somogyi.sk/product/tuzkova-bateria-aa-alkalicka-4-2-blister-maxell-lr6-4-2-16360")</f>
        <v>0.0</v>
      </c>
      <c r="E1630" s="7" t="n">
        <f>HYPERLINK("https://www.somogyi.sk/productimages/product_main_images/small/16360.jpg","https://www.somogyi.sk/productimages/product_main_images/small/16360.jpg")</f>
        <v>0.0</v>
      </c>
      <c r="F1630" s="2" t="inlineStr">
        <is>
          <t>4902580163846</t>
        </is>
      </c>
      <c r="G1630" s="4" t="inlineStr">
        <is>
          <t xml:space="preserve"> • alkalická: áno 
 • rozmery: tužková (AA) 
 • napätie: 1,5 V 
 • vyhotovenie: 6 ks / blister</t>
        </is>
      </c>
    </row>
    <row r="1631">
      <c r="A1631" s="3" t="inlineStr">
        <is>
          <t>Maxell LR6</t>
        </is>
      </c>
      <c r="B1631" s="2" t="inlineStr">
        <is>
          <t>AA batéria, alkalická, 4 ks / blister</t>
        </is>
      </c>
      <c r="C1631" s="1" t="n">
        <v>2.09</v>
      </c>
      <c r="D1631" s="7" t="n">
        <f>HYPERLINK("https://www.somogyi.sk/product/aa-bateria-alkalicka-4-ks-blister-maxell-lr6-16359","https://www.somogyi.sk/product/aa-bateria-alkalicka-4-ks-blister-maxell-lr6-16359")</f>
        <v>0.0</v>
      </c>
      <c r="E1631" s="7" t="n">
        <f>HYPERLINK("https://www.somogyi.sk/productimages/product_main_images/small/16359.jpg","https://www.somogyi.sk/productimages/product_main_images/small/16359.jpg")</f>
        <v>0.0</v>
      </c>
      <c r="F1631" s="2" t="inlineStr">
        <is>
          <t>4902580163761</t>
        </is>
      </c>
      <c r="G1631" s="4" t="inlineStr">
        <is>
          <t xml:space="preserve"> • alkalická: áno 
 • rozmery: tužková (AA) 
 • napätie: 1,5 V 
 • vyhotovenie: 4 ks / blister</t>
        </is>
      </c>
    </row>
    <row r="1632">
      <c r="A1632" s="3" t="inlineStr">
        <is>
          <t>Maxell LR14</t>
        </is>
      </c>
      <c r="B1632" s="2" t="inlineStr">
        <is>
          <t>C batéria, alkalická, 2 ks / blister</t>
        </is>
      </c>
      <c r="C1632" s="1" t="n">
        <v>3.79</v>
      </c>
      <c r="D1632" s="7" t="n">
        <f>HYPERLINK("https://www.somogyi.sk/product/c-bateria-alkalicka-2-ks-blister-maxell-lr14-16358","https://www.somogyi.sk/product/c-bateria-alkalicka-2-ks-blister-maxell-lr14-16358")</f>
        <v>0.0</v>
      </c>
      <c r="E1632" s="7" t="n">
        <f>HYPERLINK("https://www.somogyi.sk/productimages/product_main_images/small/16358.jpg","https://www.somogyi.sk/productimages/product_main_images/small/16358.jpg")</f>
        <v>0.0</v>
      </c>
      <c r="F1632" s="2" t="inlineStr">
        <is>
          <t>4902580162184</t>
        </is>
      </c>
      <c r="G1632" s="4" t="inlineStr">
        <is>
          <t xml:space="preserve"> • alkalická: áno 
 • rozmery: baby (C) 
 • napätie: 1,5 V 
 • vyhotovenie: 2 ks / blister</t>
        </is>
      </c>
    </row>
    <row r="1633">
      <c r="A1633" s="3" t="inlineStr">
        <is>
          <t>Maxell LR20</t>
        </is>
      </c>
      <c r="B1633" s="2" t="inlineStr">
        <is>
          <t>D batéria, alkalická, 2 ks / blister</t>
        </is>
      </c>
      <c r="C1633" s="1" t="n">
        <v>6.09</v>
      </c>
      <c r="D1633" s="7" t="n">
        <f>HYPERLINK("https://www.somogyi.sk/product/d-bateria-alkalicka-2-ks-blister-maxell-lr20-16357","https://www.somogyi.sk/product/d-bateria-alkalicka-2-ks-blister-maxell-lr20-16357")</f>
        <v>0.0</v>
      </c>
      <c r="E1633" s="7" t="n">
        <f>HYPERLINK("https://www.somogyi.sk/productimages/product_main_images/small/16357.jpg","https://www.somogyi.sk/productimages/product_main_images/small/16357.jpg")</f>
        <v>0.0</v>
      </c>
      <c r="F1633" s="2" t="inlineStr">
        <is>
          <t>4902580161170</t>
        </is>
      </c>
      <c r="G1633" s="4" t="inlineStr">
        <is>
          <t xml:space="preserve"> • alkalická: áno 
 • napätie: 1,5 V 
 • vyhotovenie: 2 ks / blister</t>
        </is>
      </c>
    </row>
    <row r="1634">
      <c r="A1634" s="3" t="inlineStr">
        <is>
          <t>Maxell LR41</t>
        </is>
      </c>
      <c r="B1634" s="2" t="inlineStr">
        <is>
          <t>Gombíková batéria, alkalická LR41</t>
        </is>
      </c>
      <c r="C1634" s="1" t="n">
        <v>0.49</v>
      </c>
      <c r="D1634" s="7" t="n">
        <f>HYPERLINK("https://www.somogyi.sk/product/gombikova-bateria-alkalicka-lr41-maxell-lr41-16594","https://www.somogyi.sk/product/gombikova-bateria-alkalicka-lr41-maxell-lr41-16594")</f>
        <v>0.0</v>
      </c>
      <c r="E1634" s="7" t="n">
        <f>HYPERLINK("https://www.somogyi.sk/productimages/product_main_images/small/16594.jpg","https://www.somogyi.sk/productimages/product_main_images/small/16594.jpg")</f>
        <v>0.0</v>
      </c>
      <c r="F1634" s="2" t="inlineStr">
        <is>
          <t>4902580132682</t>
        </is>
      </c>
      <c r="G1634" s="4" t="inlineStr">
        <is>
          <t xml:space="preserve"> • alkalická: áno 
 • rozmery: gombíková batéria (LR41) 
 • napätie: 1,5 V 
 • vyhotovenie: 10 ks / blister</t>
        </is>
      </c>
    </row>
    <row r="1635">
      <c r="A1635" s="3" t="inlineStr">
        <is>
          <t>Maxell SR626SW</t>
        </is>
      </c>
      <c r="B1635" s="2" t="inlineStr">
        <is>
          <t>Gombíková batéria, SR626</t>
        </is>
      </c>
      <c r="C1635" s="1" t="n">
        <v>0.75</v>
      </c>
      <c r="D1635" s="7" t="n">
        <f>HYPERLINK("https://www.somogyi.sk/product/gombikova-bateria-sr626-maxell-sr626sw-16595","https://www.somogyi.sk/product/gombikova-bateria-sr626-maxell-sr626sw-16595")</f>
        <v>0.0</v>
      </c>
      <c r="E1635" s="7" t="n">
        <f>HYPERLINK("https://www.somogyi.sk/productimages/product_main_images/small/16595.jpg","https://www.somogyi.sk/productimages/product_main_images/small/16595.jpg")</f>
        <v>0.0</v>
      </c>
      <c r="F1635" s="2" t="inlineStr">
        <is>
          <t>4902580132248</t>
        </is>
      </c>
      <c r="G1635" s="4" t="inlineStr">
        <is>
          <t xml:space="preserve"> • rozmery: gombíková batéria (SR626SW) 
 • napätie: 1,55 V 
 • vyhotovenie: 10 ks / blister</t>
        </is>
      </c>
    </row>
    <row r="1636">
      <c r="A1636" s="3" t="inlineStr">
        <is>
          <t>Maxell R03</t>
        </is>
      </c>
      <c r="B1636" s="2" t="inlineStr">
        <is>
          <t>AAA batéria, polotrvalá, 4 ks</t>
        </is>
      </c>
      <c r="C1636" s="1" t="n">
        <v>1.35</v>
      </c>
      <c r="D1636" s="7" t="n">
        <f>HYPERLINK("https://www.somogyi.sk/product/aaa-bateria-polotrvala-4-ks-maxell-r03-16355","https://www.somogyi.sk/product/aaa-bateria-polotrvala-4-ks-maxell-r03-16355")</f>
        <v>0.0</v>
      </c>
      <c r="E1636" s="7" t="n">
        <f>HYPERLINK("https://www.somogyi.sk/productimages/product_main_images/small/16355.jpg","https://www.somogyi.sk/productimages/product_main_images/small/16355.jpg")</f>
        <v>0.0</v>
      </c>
      <c r="F1636" s="2" t="inlineStr">
        <is>
          <t>4902580154066</t>
        </is>
      </c>
      <c r="G1636" s="4" t="inlineStr">
        <is>
          <t xml:space="preserve"> • polotrvalá: áno 
 • rozmery: mini tužková batéria (AAA) 
 • napätie: 1,5 V 
 • vyhotovenie: 4 ks / balenie</t>
        </is>
      </c>
    </row>
    <row r="1637">
      <c r="A1637" s="3" t="inlineStr">
        <is>
          <t>Maxell R6</t>
        </is>
      </c>
      <c r="B1637" s="2" t="inlineStr">
        <is>
          <t>AA batéria, polotrvalá, 4 ks</t>
        </is>
      </c>
      <c r="C1637" s="1" t="n">
        <v>1.29</v>
      </c>
      <c r="D1637" s="7" t="n">
        <f>HYPERLINK("https://www.somogyi.sk/product/aa-bateria-polotrvala-4-ks-maxell-r6-16353","https://www.somogyi.sk/product/aa-bateria-polotrvala-4-ks-maxell-r6-16353")</f>
        <v>0.0</v>
      </c>
      <c r="E1637" s="7" t="n">
        <f>HYPERLINK("https://www.somogyi.sk/productimages/product_main_images/small/16353.jpg","https://www.somogyi.sk/productimages/product_main_images/small/16353.jpg")</f>
        <v>0.0</v>
      </c>
      <c r="F1637" s="2" t="inlineStr">
        <is>
          <t>4902580153403</t>
        </is>
      </c>
      <c r="G1637" s="4" t="inlineStr">
        <is>
          <t xml:space="preserve"> • polotrvalá: áno 
 • rozmery: tužková (AA) 
 • napätie: 1,5 V 
 • vyhotovenie: 4 ks / balenie</t>
        </is>
      </c>
    </row>
    <row r="1638">
      <c r="A1638" s="3" t="inlineStr">
        <is>
          <t>Maxell R14</t>
        </is>
      </c>
      <c r="B1638" s="2" t="inlineStr">
        <is>
          <t>C batéria, polotrvalá, 2 ks</t>
        </is>
      </c>
      <c r="C1638" s="1" t="n">
        <v>1.79</v>
      </c>
      <c r="D1638" s="7" t="n">
        <f>HYPERLINK("https://www.somogyi.sk/product/c-bateria-polotrvala-2-ks-maxell-r14-16352","https://www.somogyi.sk/product/c-bateria-polotrvala-2-ks-maxell-r14-16352")</f>
        <v>0.0</v>
      </c>
      <c r="E1638" s="7" t="n">
        <f>HYPERLINK("https://www.somogyi.sk/productimages/product_main_images/small/16352.jpg","https://www.somogyi.sk/productimages/product_main_images/small/16352.jpg")</f>
        <v>0.0</v>
      </c>
      <c r="F1638" s="2" t="inlineStr">
        <is>
          <t>4902580152185</t>
        </is>
      </c>
      <c r="G1638" s="4" t="inlineStr">
        <is>
          <t xml:space="preserve"> • polotrvalá: áno 
 • rozmery: baby (C) 
 • napätie: 1,5 V 
 • vyhotovenie: 2 ks / balenie</t>
        </is>
      </c>
    </row>
    <row r="1639">
      <c r="A1639" s="3" t="inlineStr">
        <is>
          <t>Maxell R20</t>
        </is>
      </c>
      <c r="B1639" s="2" t="inlineStr">
        <is>
          <t>D batéria, polotrvalá, 2 ks</t>
        </is>
      </c>
      <c r="C1639" s="1" t="n">
        <v>2.09</v>
      </c>
      <c r="D1639" s="7" t="n">
        <f>HYPERLINK("https://www.somogyi.sk/product/d-bateria-polotrvala-2-ks-maxell-r20-16351","https://www.somogyi.sk/product/d-bateria-polotrvala-2-ks-maxell-r20-16351")</f>
        <v>0.0</v>
      </c>
      <c r="E1639" s="7" t="n">
        <f>HYPERLINK("https://www.somogyi.sk/productimages/product_main_images/small/16351.jpg","https://www.somogyi.sk/productimages/product_main_images/small/16351.jpg")</f>
        <v>0.0</v>
      </c>
      <c r="F1639" s="2" t="inlineStr">
        <is>
          <t>4902580151171</t>
        </is>
      </c>
      <c r="G1639" s="4" t="inlineStr">
        <is>
          <t xml:space="preserve"> • polotrvalá: áno 
 • napätie: 1,5 V 
 • vyhotovenie: 2 ks / balenie</t>
        </is>
      </c>
    </row>
    <row r="1640">
      <c r="A1640" s="3" t="inlineStr">
        <is>
          <t>LR03 24PK POWER PACK Maxell</t>
        </is>
      </c>
      <c r="B1640" s="2" t="inlineStr">
        <is>
          <t>Mikrotužková batéria (AAA), alkalická, 4 x 6 ks</t>
        </is>
      </c>
      <c r="C1640" s="1" t="n">
        <v>12.49</v>
      </c>
      <c r="D1640" s="7" t="n">
        <f>HYPERLINK("https://www.somogyi.sk/product/mikrotuzkova-bateria-aaa-alkalicka-4-x-6-ks-lr03-24pk-power-pack-maxell-16294","https://www.somogyi.sk/product/mikrotuzkova-bateria-aaa-alkalicka-4-x-6-ks-lr03-24pk-power-pack-maxell-16294")</f>
        <v>0.0</v>
      </c>
      <c r="E1640" s="7" t="n">
        <f>HYPERLINK("https://www.somogyi.sk/productimages/product_main_images/small/16294.jpg","https://www.somogyi.sk/productimages/product_main_images/small/16294.jpg")</f>
        <v>0.0</v>
      </c>
      <c r="F1640" s="2" t="inlineStr">
        <is>
          <t>4902580748357</t>
        </is>
      </c>
      <c r="G1640" s="4" t="inlineStr">
        <is>
          <t xml:space="preserve"> • alkalická: áno 
 • rozmery: AAA 
 • napätie: 1,5 V 
 • vyhotovenie: 24 ks/krabica</t>
        </is>
      </c>
    </row>
    <row r="1641">
      <c r="A1641" s="3" t="inlineStr">
        <is>
          <t>Maxell CR1620</t>
        </is>
      </c>
      <c r="B1641" s="2" t="inlineStr">
        <is>
          <t>Gombíková batéria, 3 V</t>
        </is>
      </c>
      <c r="C1641" s="1" t="n">
        <v>1.89</v>
      </c>
      <c r="D1641" s="7" t="n">
        <f>HYPERLINK("https://www.somogyi.sk/product/gombikova-bateria-3-v-maxell-cr1620-17899","https://www.somogyi.sk/product/gombikova-bateria-3-v-maxell-cr1620-17899")</f>
        <v>0.0</v>
      </c>
      <c r="E1641" s="7" t="n">
        <f>HYPERLINK("https://www.somogyi.sk/productimages/product_main_images/small/17899.jpg","https://www.somogyi.sk/productimages/product_main_images/small/17899.jpg")</f>
        <v>0.0</v>
      </c>
      <c r="F1641" s="2" t="inlineStr">
        <is>
          <t>4902580776459</t>
        </is>
      </c>
      <c r="G1641" s="4" t="inlineStr">
        <is>
          <t xml:space="preserve"> • lítiová                                                                
 • gombíková batéria (CR1620)                              
 • 3 V                                                                        
 • 5 ks / blister 
 • Uvedená cena platí pre 1 kus.</t>
        </is>
      </c>
    </row>
    <row r="1642">
      <c r="A1642" s="3" t="inlineStr">
        <is>
          <t>LR6 24PK POWER PACK Maxell</t>
        </is>
      </c>
      <c r="B1642" s="2" t="inlineStr">
        <is>
          <t>Tužková batéria (AA), alkalická, 4 x 6 ks</t>
        </is>
      </c>
      <c r="C1642" s="1" t="n">
        <v>12.49</v>
      </c>
      <c r="D1642" s="7" t="n">
        <f>HYPERLINK("https://www.somogyi.sk/product/tuzkova-bateria-aa-alkalicka-4-x-6-ks-lr6-24pk-power-pack-maxell-16293","https://www.somogyi.sk/product/tuzkova-bateria-aa-alkalicka-4-x-6-ks-lr6-24pk-power-pack-maxell-16293")</f>
        <v>0.0</v>
      </c>
      <c r="E1642" s="7" t="n">
        <f>HYPERLINK("https://www.somogyi.sk/productimages/product_main_images/small/16293.jpg","https://www.somogyi.sk/productimages/product_main_images/small/16293.jpg")</f>
        <v>0.0</v>
      </c>
      <c r="F1642" s="2" t="inlineStr">
        <is>
          <t>4902580748326</t>
        </is>
      </c>
      <c r="G1642" s="4" t="inlineStr">
        <is>
          <t xml:space="preserve"> • napätie: 1,5 V 
 • vyhotovenie: 24 ks/krabica</t>
        </is>
      </c>
    </row>
    <row r="1643">
      <c r="A1643" s="3" t="inlineStr">
        <is>
          <t>Maxell CR1616</t>
        </is>
      </c>
      <c r="B1643" s="2" t="inlineStr">
        <is>
          <t>Gombíková batéria, 3 V</t>
        </is>
      </c>
      <c r="C1643" s="1" t="n">
        <v>1.59</v>
      </c>
      <c r="D1643" s="7" t="n">
        <f>HYPERLINK("https://www.somogyi.sk/product/gombikova-bateria-3-v-maxell-cr1616-17898","https://www.somogyi.sk/product/gombikova-bateria-3-v-maxell-cr1616-17898")</f>
        <v>0.0</v>
      </c>
      <c r="E1643" s="7" t="n">
        <f>HYPERLINK("https://www.somogyi.sk/productimages/product_main_images/small/17898.jpg","https://www.somogyi.sk/productimages/product_main_images/small/17898.jpg")</f>
        <v>0.0</v>
      </c>
      <c r="F1643" s="2" t="inlineStr">
        <is>
          <t>4902580776435</t>
        </is>
      </c>
      <c r="G1643" s="4" t="inlineStr">
        <is>
          <t xml:space="preserve"> • lítiová                                                                
 • gombíková batéria (CR1616)                              
 • 3 V                                                                        
 • 5 ks / blister 
 • Uvedená cena platí pre 1 kus.</t>
        </is>
      </c>
    </row>
    <row r="1644">
      <c r="A1644" s="6" t="inlineStr">
        <is>
          <t xml:space="preserve">   Bytové doplnky / Fontána</t>
        </is>
      </c>
      <c r="B1644" s="6" t="inlineStr">
        <is>
          <t/>
        </is>
      </c>
      <c r="C1644" s="6" t="inlineStr">
        <is>
          <t/>
        </is>
      </c>
      <c r="D1644" s="6" t="inlineStr">
        <is>
          <t/>
        </is>
      </c>
      <c r="E1644" s="6" t="inlineStr">
        <is>
          <t/>
        </is>
      </c>
      <c r="F1644" s="6" t="inlineStr">
        <is>
          <t/>
        </is>
      </c>
      <c r="G1644" s="6" t="inlineStr">
        <is>
          <t/>
        </is>
      </c>
    </row>
    <row r="1645">
      <c r="A1645" s="3" t="inlineStr">
        <is>
          <t>WF 04</t>
        </is>
      </c>
      <c r="B1645" s="2" t="inlineStr">
        <is>
          <t>Interiérová fontána, 26 cm</t>
        </is>
      </c>
      <c r="C1645" s="1" t="n">
        <v>28.99</v>
      </c>
      <c r="D1645" s="7" t="n">
        <f>HYPERLINK("https://www.somogyi.sk/product/interierova-fontana-26-cm-wf-04-17265","https://www.somogyi.sk/product/interierova-fontana-26-cm-wf-04-17265")</f>
        <v>0.0</v>
      </c>
      <c r="E1645" s="7" t="n">
        <f>HYPERLINK("https://www.somogyi.sk/productimages/product_main_images/small/17265.jpg","https://www.somogyi.sk/productimages/product_main_images/small/17265.jpg")</f>
        <v>0.0</v>
      </c>
      <c r="F1645" s="2" t="inlineStr">
        <is>
          <t>5999084952877</t>
        </is>
      </c>
      <c r="G1645" s="4" t="inlineStr">
        <is>
          <t xml:space="preserve"> • materiál: polyresin 
 • vonkajšia / vnútorná: na vnútorné použitie 
 • farba LED: teplá biela 
 • napájanie: sieťový adaptér, je prísl. 
 • rozmery: 17 x 26 x 17 cm</t>
        </is>
      </c>
    </row>
    <row r="1646">
      <c r="A1646" s="3" t="inlineStr">
        <is>
          <t>WF 02</t>
        </is>
      </c>
      <c r="B1646" s="2" t="inlineStr">
        <is>
          <t>Interiérová fontána, 47,8 cm</t>
        </is>
      </c>
      <c r="C1646" s="1" t="n">
        <v>71.99</v>
      </c>
      <c r="D1646" s="7" t="n">
        <f>HYPERLINK("https://www.somogyi.sk/product/interierova-fontana-47-8-cm-wf-02-17263","https://www.somogyi.sk/product/interierova-fontana-47-8-cm-wf-02-17263")</f>
        <v>0.0</v>
      </c>
      <c r="E1646" s="7" t="n">
        <f>HYPERLINK("https://www.somogyi.sk/productimages/product_main_images/small/17263.jpg","https://www.somogyi.sk/productimages/product_main_images/small/17263.jpg")</f>
        <v>0.0</v>
      </c>
      <c r="F1646" s="2" t="inlineStr">
        <is>
          <t>5999084952853</t>
        </is>
      </c>
      <c r="G1646" s="4" t="inlineStr">
        <is>
          <t xml:space="preserve"> • materiál: polyresin 
 • vonkajšia / vnútorná: na vnútorné použitie 
 • farba LED: teplá biela 
 • napájanie: sieťový adaptér, je prísl. 
 • rozmery: 30,5 x 47,8 x 25,5 cm</t>
        </is>
      </c>
    </row>
    <row r="1647">
      <c r="A1647" s="3" t="inlineStr">
        <is>
          <t>WF 01</t>
        </is>
      </c>
      <c r="B1647" s="2" t="inlineStr">
        <is>
          <t>Interiérová fontána, 48 cm</t>
        </is>
      </c>
      <c r="C1647" s="1" t="n">
        <v>68.99</v>
      </c>
      <c r="D1647" s="7" t="n">
        <f>HYPERLINK("https://www.somogyi.sk/product/interierova-fontana-48-cm-wf-01-17262","https://www.somogyi.sk/product/interierova-fontana-48-cm-wf-01-17262")</f>
        <v>0.0</v>
      </c>
      <c r="E1647" s="7" t="n">
        <f>HYPERLINK("https://www.somogyi.sk/productimages/product_main_images/small/17262.jpg","https://www.somogyi.sk/productimages/product_main_images/small/17262.jpg")</f>
        <v>0.0</v>
      </c>
      <c r="F1647" s="2" t="inlineStr">
        <is>
          <t>5999084952846</t>
        </is>
      </c>
      <c r="G1647" s="4" t="inlineStr">
        <is>
          <t xml:space="preserve"> • materiál: polyresin 
 • vonkajšia / vnútorná: na vnútorné použitie 
 • farba LED: teplá biela 
 • napájanie: sieťový adaptér, je prísl. 
 • rozmery: 29,5 x 48 x 23 cm</t>
        </is>
      </c>
    </row>
    <row r="1648">
      <c r="A1648" s="6" t="inlineStr">
        <is>
          <t xml:space="preserve">   Bytové doplnky / Pracovný stolný stojan</t>
        </is>
      </c>
      <c r="B1648" s="6" t="inlineStr">
        <is>
          <t/>
        </is>
      </c>
      <c r="C1648" s="6" t="inlineStr">
        <is>
          <t/>
        </is>
      </c>
      <c r="D1648" s="6" t="inlineStr">
        <is>
          <t/>
        </is>
      </c>
      <c r="E1648" s="6" t="inlineStr">
        <is>
          <t/>
        </is>
      </c>
      <c r="F1648" s="6" t="inlineStr">
        <is>
          <t/>
        </is>
      </c>
      <c r="G1648" s="6" t="inlineStr">
        <is>
          <t/>
        </is>
      </c>
    </row>
    <row r="1649">
      <c r="A1649" s="3" t="inlineStr">
        <is>
          <t>SST 01</t>
        </is>
      </c>
      <c r="B1649" s="2" t="inlineStr">
        <is>
          <t>Pracovný stojan na stôl</t>
        </is>
      </c>
      <c r="C1649" s="1" t="n">
        <v>50.99</v>
      </c>
      <c r="D1649" s="7" t="n">
        <f>HYPERLINK("https://www.somogyi.sk/product/pracovny-stojan-na-stol-sst-01-17321","https://www.somogyi.sk/product/pracovny-stojan-na-stol-sst-01-17321")</f>
        <v>0.0</v>
      </c>
      <c r="E1649" s="7" t="n">
        <f>HYPERLINK("https://www.somogyi.sk/productimages/product_main_images/small/17321.jpg","https://www.somogyi.sk/productimages/product_main_images/small/17321.jpg")</f>
        <v>0.0</v>
      </c>
      <c r="F1649" s="2" t="inlineStr">
        <is>
          <t>5999084953430</t>
        </is>
      </c>
      <c r="G1649" s="4" t="inlineStr">
        <is>
          <t xml:space="preserve"> • materiál: MDF, oceľ 
 • N/A: 5 nastavení výšky (45/215/265/305/365/405 mm) 
 • zaťažiteľnosť: max. 35 kg</t>
        </is>
      </c>
    </row>
    <row r="1650">
      <c r="A1650" s="6" t="inlineStr">
        <is>
          <t xml:space="preserve">   Bytové doplnky / TV Box</t>
        </is>
      </c>
      <c r="B1650" s="6" t="inlineStr">
        <is>
          <t/>
        </is>
      </c>
      <c r="C1650" s="6" t="inlineStr">
        <is>
          <t/>
        </is>
      </c>
      <c r="D1650" s="6" t="inlineStr">
        <is>
          <t/>
        </is>
      </c>
      <c r="E1650" s="6" t="inlineStr">
        <is>
          <t/>
        </is>
      </c>
      <c r="F1650" s="6" t="inlineStr">
        <is>
          <t/>
        </is>
      </c>
      <c r="G1650" s="6" t="inlineStr">
        <is>
          <t/>
        </is>
      </c>
    </row>
    <row r="1651">
      <c r="A1651" s="3" t="inlineStr">
        <is>
          <t>TV SMART BOX</t>
        </is>
      </c>
      <c r="B1651" s="2" t="inlineStr">
        <is>
          <t>ANDROID TV BOX</t>
        </is>
      </c>
      <c r="C1651" s="1" t="n">
        <v>69.99</v>
      </c>
      <c r="D1651" s="7" t="n">
        <f>HYPERLINK("https://www.somogyi.sk/product/android-tv-box-tv-smart-box-17751","https://www.somogyi.sk/product/android-tv-box-tv-smart-box-17751")</f>
        <v>0.0</v>
      </c>
      <c r="E1651" s="7" t="n">
        <f>HYPERLINK("https://www.somogyi.sk/productimages/product_main_images/small/17751.jpg","https://www.somogyi.sk/productimages/product_main_images/small/17751.jpg")</f>
        <v>0.0</v>
      </c>
      <c r="F1651" s="2" t="inlineStr">
        <is>
          <t>5999084957735</t>
        </is>
      </c>
      <c r="G1651" s="4" t="inlineStr">
        <is>
          <t xml:space="preserve"> • wifi: áno (2,4 GHz, 5 GHz) 
 • N/A: High-Speed 4x2GHz processzor, 4 GB RAM / 64 GB ROM 
 • rozlíšenie: 4K UHD 
 • výstup: HDMI, OPTICAL, AV 
 • vstup: ETHERNET / DC IN (5V/2Amax.) 
 •  
 • rozmery: 105 x 105 x 23 mm / 140 g 
 • ďalšie informácie: operačný systém: Android 11, OTA upgrade 
 • ďalšie informácie: Z dôvodu neustálych zmien zmluvných podmienok jednotlivých poskytovateľov streamingových služieb je dostupnosť streamovacích platforiem na zariadení obmedzená alebo nie je možná. Toto nie je chyba zariadenia!</t>
        </is>
      </c>
    </row>
    <row r="1652">
      <c r="A1652" s="6" t="inlineStr">
        <is>
          <t xml:space="preserve">   Bytové doplnky / N/A</t>
        </is>
      </c>
      <c r="B1652" s="6" t="inlineStr">
        <is>
          <t/>
        </is>
      </c>
      <c r="C1652" s="6" t="inlineStr">
        <is>
          <t/>
        </is>
      </c>
      <c r="D1652" s="6" t="inlineStr">
        <is>
          <t/>
        </is>
      </c>
      <c r="E1652" s="6" t="inlineStr">
        <is>
          <t/>
        </is>
      </c>
      <c r="F1652" s="6" t="inlineStr">
        <is>
          <t/>
        </is>
      </c>
      <c r="G1652" s="6" t="inlineStr">
        <is>
          <t/>
        </is>
      </c>
    </row>
    <row r="1653">
      <c r="A1653" s="3" t="inlineStr">
        <is>
          <t>CH-WZB-WSW-300</t>
        </is>
      </c>
      <c r="B1653" s="2" t="inlineStr">
        <is>
          <t>Chameleon bezdrôtový 3-okruhový nástenný spínač</t>
        </is>
      </c>
      <c r="C1653" s="1" t="n">
        <v>21.58</v>
      </c>
      <c r="D1653" s="7" t="n">
        <f>HYPERLINK("https://www.somogyi.sk/product/chameleon-bezdrotovy-3-okruhovy-nastenny-spinac-ch-wzb-wsw-300-18092","https://www.somogyi.sk/product/chameleon-bezdrotovy-3-okruhovy-nastenny-spinac-ch-wzb-wsw-300-18092")</f>
        <v>0.0</v>
      </c>
      <c r="E1653" s="7" t="n">
        <f>HYPERLINK("https://www.somogyi.sk/productimages/product_main_images/small/18092.jpg","https://www.somogyi.sk/productimages/product_main_images/small/18092.jpg")</f>
        <v>0.0</v>
      </c>
      <c r="F1653" s="2" t="inlineStr">
        <is>
          <t>5999572900250</t>
        </is>
      </c>
      <c r="G1653" s="4" t="inlineStr">
        <is>
          <t>Trojokruhový nástenný spínač je možné ovládať na diaľku a má 3 spínateľný výstup. Dá sa použiť na ovládanie svetelných okruhov a tienediel. Dá sa zabudovať do steny a dá sa umiestniť aj pomocou radovej svorky.</t>
        </is>
      </c>
    </row>
    <row r="1654">
      <c r="A1654" s="3" t="inlineStr">
        <is>
          <t>CH-WZB-GMS-100</t>
        </is>
      </c>
      <c r="B1654" s="2" t="inlineStr">
        <is>
          <t>Chameleon bezdrôtový senzor otvorenia</t>
        </is>
      </c>
      <c r="C1654" s="1" t="n">
        <v>22.58</v>
      </c>
      <c r="D1654" s="7" t="n">
        <f>HYPERLINK("https://www.somogyi.sk/product/chameleon-bezdrotovy-senzor-otvorenia-ch-wzb-gms-100-18096","https://www.somogyi.sk/product/chameleon-bezdrotovy-senzor-otvorenia-ch-wzb-gms-100-18096")</f>
        <v>0.0</v>
      </c>
      <c r="E1654" s="7" t="n">
        <f>HYPERLINK("https://www.somogyi.sk/productimages/product_main_images/small/18096.jpg","https://www.somogyi.sk/productimages/product_main_images/small/18096.jpg")</f>
        <v>0.0</v>
      </c>
      <c r="F1654" s="2" t="inlineStr">
        <is>
          <t>5999572900304</t>
        </is>
      </c>
      <c r="G1654" s="4" t="inlineStr">
        <is>
          <t>Senzor otvorenia je možné inštalovať na povrchy žalúzií a funguje s batériou CR2032. Môže byť tiež použitý na detekciu iných mechanických pohyblivých zariadení.</t>
        </is>
      </c>
    </row>
    <row r="1655">
      <c r="A1655" s="3" t="inlineStr">
        <is>
          <t>CH-WZB-WLD-100</t>
        </is>
      </c>
      <c r="B1655" s="2" t="inlineStr">
        <is>
          <t>Chameleon bezdrôtový senzor úniku vody</t>
        </is>
      </c>
      <c r="C1655" s="1" t="n">
        <v>22.58</v>
      </c>
      <c r="D1655" s="7" t="n">
        <f>HYPERLINK("https://www.somogyi.sk/product/chameleon-bezdrotovy-senzor-uniku-vody-ch-wzb-wld-100-18097","https://www.somogyi.sk/product/chameleon-bezdrotovy-senzor-uniku-vody-ch-wzb-wld-100-18097")</f>
        <v>0.0</v>
      </c>
      <c r="E1655" s="7" t="n">
        <f>HYPERLINK("https://www.somogyi.sk/productimages/product_main_images/small/18097.jpg","https://www.somogyi.sk/productimages/product_main_images/small/18097.jpg")</f>
        <v>0.0</v>
      </c>
      <c r="F1655" s="2" t="inlineStr">
        <is>
          <t>5999572900311</t>
        </is>
      </c>
      <c r="G1655" s="4" t="inlineStr">
        <is>
          <t>Detektor úniku vody s batériou CR2032. Poskytuje ochranu pred zlomením a pretečením potrubia upozornením používateľa.</t>
        </is>
      </c>
    </row>
    <row r="1656">
      <c r="A1656" s="3" t="inlineStr">
        <is>
          <t>CH-WZB-THP-100</t>
        </is>
      </c>
      <c r="B1656" s="2" t="inlineStr">
        <is>
          <t>Chameleon bezdrôtový senzor na meranie vnútornej teploty a vlhkosti</t>
        </is>
      </c>
      <c r="C1656" s="1" t="n">
        <v>21.58</v>
      </c>
      <c r="D1656" s="7" t="n">
        <f>HYPERLINK("https://www.somogyi.sk/product/chameleon-bezdrotovy-senzor-na-meranie-vnutornej-teploty-a-vlhkosti-ch-wzb-thp-100-18098","https://www.somogyi.sk/product/chameleon-bezdrotovy-senzor-na-meranie-vnutornej-teploty-a-vlhkosti-ch-wzb-thp-100-18098")</f>
        <v>0.0</v>
      </c>
      <c r="E1656" s="7" t="n">
        <f>HYPERLINK("https://www.somogyi.sk/productimages/product_main_images/small/18098.jpg","https://www.somogyi.sk/productimages/product_main_images/small/18098.jpg")</f>
        <v>0.0</v>
      </c>
      <c r="F1656" s="2" t="inlineStr">
        <is>
          <t>5999572900298</t>
        </is>
      </c>
      <c r="G1656" s="4" t="inlineStr">
        <is>
          <t>Senzor teploty a vlhkosti je možné umiestniť na povrchy. Funguje s batériou CR2032 a možno s doladiť vykurovacie okruhy. Pri použití spolu s našimi radiátorovými termohlavicami dosiahne plnú funkčnosť.</t>
        </is>
      </c>
    </row>
    <row r="1657">
      <c r="A1657" s="3" t="inlineStr">
        <is>
          <t>CH-WMP-COR-100</t>
        </is>
      </c>
      <c r="B1657" s="2" t="inlineStr">
        <is>
          <t>Chameleon bezdrôtové riadiace centrum - základná verzia</t>
        </is>
      </c>
      <c r="C1657" s="1" t="n">
        <v>251.98</v>
      </c>
      <c r="D1657" s="7" t="n">
        <f>HYPERLINK("https://www.somogyi.sk/product/chameleon-bezdrotove-riadiace-centrum-zakladna-verzia-ch-wmp-cor-100-18100","https://www.somogyi.sk/product/chameleon-bezdrotove-riadiace-centrum-zakladna-verzia-ch-wmp-cor-100-18100")</f>
        <v>0.0</v>
      </c>
      <c r="E1657" s="7" t="n">
        <f>HYPERLINK("https://www.somogyi.sk/productimages/product_main_images/small/18100.jpg","https://www.somogyi.sk/productimages/product_main_images/small/18100.jpg")</f>
        <v>0.0</v>
      </c>
      <c r="F1657" s="2" t="inlineStr">
        <is>
          <t>5999572900310</t>
        </is>
      </c>
      <c r="G1657" s="4" t="inlineStr">
        <is>
          <t>Chameleon Core je "mozog" nášho systému, ktorý komunikuje s našimi senzormi a prenáša získané dáta do zariadení, ktoré vykonávajú ľubovoľné príkazy v našej domácnosti.</t>
        </is>
      </c>
    </row>
    <row r="1658">
      <c r="A1658" s="3" t="inlineStr">
        <is>
          <t>CH-WZB-WSW-200</t>
        </is>
      </c>
      <c r="B1658" s="2" t="inlineStr">
        <is>
          <t>Chameleon bezdrôtový 2-okruhový nástenný spínač</t>
        </is>
      </c>
      <c r="C1658" s="1" t="n">
        <v>21.58</v>
      </c>
      <c r="D1658" s="7" t="n">
        <f>HYPERLINK("https://www.somogyi.sk/product/chameleon-bezdrotovy-2-okruhovy-nastenny-spinac-ch-wzb-wsw-200-18091","https://www.somogyi.sk/product/chameleon-bezdrotovy-2-okruhovy-nastenny-spinac-ch-wzb-wsw-200-18091")</f>
        <v>0.0</v>
      </c>
      <c r="E1658" s="7" t="n">
        <f>HYPERLINK("https://www.somogyi.sk/productimages/product_main_images/small/18091.jpg","https://www.somogyi.sk/productimages/product_main_images/small/18091.jpg")</f>
        <v>0.0</v>
      </c>
      <c r="F1658" s="2" t="inlineStr">
        <is>
          <t>5999572900267</t>
        </is>
      </c>
      <c r="G1658" s="4" t="inlineStr">
        <is>
          <t>Dvojokruhový nástenný spínač je možné ovládať na diaľku a má 2 spínateľný výstup. Dá sa použiť na ovládanie svetelných okruhov a tienediel. Dá sa zabudovať do steny a dá sa umiestniť aj pomocou radovej svorky.</t>
        </is>
      </c>
    </row>
    <row r="1659">
      <c r="A1659" s="3" t="inlineStr">
        <is>
          <t>CH-WZB-RTH-100</t>
        </is>
      </c>
      <c r="B1659" s="2" t="inlineStr">
        <is>
          <t>Chameleon bezdrôtová termostatická hlavica na radiátor</t>
        </is>
      </c>
      <c r="C1659" s="1" t="n">
        <v>59.78</v>
      </c>
      <c r="D1659" s="7" t="n">
        <f>HYPERLINK("https://www.somogyi.sk/product/chameleon-bezdrotova-termostaticka-hlavica-na-radiator-ch-wzb-rth-100-18099","https://www.somogyi.sk/product/chameleon-bezdrotova-termostaticka-hlavica-na-radiator-ch-wzb-rth-100-18099")</f>
        <v>0.0</v>
      </c>
      <c r="E1659" s="7" t="n">
        <f>HYPERLINK("https://www.somogyi.sk/productimages/product_main_images/small/18099.jpg","https://www.somogyi.sk/productimages/product_main_images/small/18099.jpg")</f>
        <v>0.0</v>
      </c>
      <c r="F1659" s="2" t="inlineStr">
        <is>
          <t>5999572900281</t>
        </is>
      </c>
      <c r="G1659" s="4" t="inlineStr">
        <is>
          <t>Bezdrôtová termohlavica s dotykovým displejom je možné namontovať na ventily radiátorov. Okrem ovládania vykurovacích okruhov je vhodný aj na meranie a zobrazovanie údajov o teplote a je kompatibilný s väčšinou radiátorových ventilov. (RA, RAV, Comap, RAVL, T+A Herz)</t>
        </is>
      </c>
    </row>
    <row r="1660">
      <c r="A1660" s="3" t="inlineStr">
        <is>
          <t>CH-WZB-WSW-100</t>
        </is>
      </c>
      <c r="B1660" s="2" t="inlineStr">
        <is>
          <t>Chameleon bezdrôtový 1-okruhový nástenný spínač</t>
        </is>
      </c>
      <c r="C1660" s="1" t="n">
        <v>19.18</v>
      </c>
      <c r="D1660" s="7" t="n">
        <f>HYPERLINK("https://www.somogyi.sk/product/chameleon-bezdrotovy-1-okruhovy-nastenny-spinac-ch-wzb-wsw-100-18090","https://www.somogyi.sk/product/chameleon-bezdrotovy-1-okruhovy-nastenny-spinac-ch-wzb-wsw-100-18090")</f>
        <v>0.0</v>
      </c>
      <c r="E1660" s="7" t="n">
        <f>HYPERLINK("https://www.somogyi.sk/productimages/product_main_images/small/18090.jpg","https://www.somogyi.sk/productimages/product_main_images/small/18090.jpg")</f>
        <v>0.0</v>
      </c>
      <c r="F1660" s="2" t="inlineStr">
        <is>
          <t>5999572900274</t>
        </is>
      </c>
      <c r="G1660" s="4" t="inlineStr">
        <is>
          <t>Jednookruhový nástenný spínač je možné ovládať na diaľku a má 1 spínateľný výstup. Dá sa použiť na ovládanie svetelných okruhov a tienediel. Dá sa zabudovať do steny a dá sa umiestniť aj pomocou radovej svorky.</t>
        </is>
      </c>
    </row>
    <row r="1661">
      <c r="A1661" s="3" t="inlineStr">
        <is>
          <t>KU001260</t>
        </is>
      </c>
      <c r="B1661" s="2" t="inlineStr">
        <is>
          <t>Sensibo Sky 2.0 ovládací modul klimatizácie</t>
        </is>
      </c>
      <c r="C1661" s="1" t="n">
        <v>121.98</v>
      </c>
      <c r="D1661" s="7" t="n">
        <f>HYPERLINK("https://www.somogyi.sk/product/sensibo-sky-2-0-ovladaci-modul-klimatizacie-ku001260-18102","https://www.somogyi.sk/product/sensibo-sky-2-0-ovladaci-modul-klimatizacie-ku001260-18102")</f>
        <v>0.0</v>
      </c>
      <c r="E1661" s="7" t="n">
        <f>HYPERLINK("https://www.somogyi.sk/productimages/product_main_images/small/18102.jpg","https://www.somogyi.sk/productimages/product_main_images/small/18102.jpg")</f>
        <v>0.0</v>
      </c>
      <c r="F1661" s="2" t="inlineStr">
        <is>
          <t>7290016037159</t>
        </is>
      </c>
      <c r="G1661" s="4" t="inlineStr">
        <is>
          <t>Infračervený modul ovládania vnútornej klimatizácie. Je kompatibilný s produktmi hlavných výrobcov klimatizácií na trhu. Pomocou modulu môžeme spravovať našu klimatizáciu na diaľku. Môže byť tiež koordinovaný so systémom chladenia - kúrenia a senzormi teploty a vlhkosti.</t>
        </is>
      </c>
    </row>
    <row r="1662">
      <c r="A1662" s="3" t="inlineStr">
        <is>
          <t>CH-WZB-PMS-100</t>
        </is>
      </c>
      <c r="B1662" s="2" t="inlineStr">
        <is>
          <t>Chameleon bezdrôtový pohybový senzor</t>
        </is>
      </c>
      <c r="C1662" s="1" t="n">
        <v>22.58</v>
      </c>
      <c r="D1662" s="7" t="n">
        <f>HYPERLINK("https://www.somogyi.sk/product/chameleon-bezdrotovy-pohybovy-senzor-ch-wzb-pms-100-18095","https://www.somogyi.sk/product/chameleon-bezdrotovy-pohybovy-senzor-ch-wzb-pms-100-18095")</f>
        <v>0.0</v>
      </c>
      <c r="E1662" s="7" t="n">
        <f>HYPERLINK("https://www.somogyi.sk/productimages/product_main_images/small/18095.jpg","https://www.somogyi.sk/productimages/product_main_images/small/18095.jpg")</f>
        <v>0.0</v>
      </c>
      <c r="F1662" s="2" t="inlineStr">
        <is>
          <t>5999572900397</t>
        </is>
      </c>
      <c r="G1662" s="4" t="inlineStr">
        <is>
          <t>Pohybový senzor je možné umiestniť na povrchy a funguje s batériou CR2450. Vďaka svojej konštukcii dokáže zaznamenať pohyb z viacerých polôh, maximálne do 7 m, pod uhlom 170 stupňov.</t>
        </is>
      </c>
    </row>
    <row r="1663">
      <c r="A1663" s="3" t="inlineStr">
        <is>
          <t>CH-WZB-DI2-100</t>
        </is>
      </c>
      <c r="B1663" s="2" t="inlineStr">
        <is>
          <t>Chameleon bezdrôtový nástenný stmievací modul</t>
        </is>
      </c>
      <c r="C1663" s="1" t="n">
        <v>25.18</v>
      </c>
      <c r="D1663" s="7" t="n">
        <f>HYPERLINK("https://www.somogyi.sk/product/chameleon-bezdrotovy-nastenny-stmievaci-modul-ch-wzb-di2-100-18089","https://www.somogyi.sk/product/chameleon-bezdrotovy-nastenny-stmievaci-modul-ch-wzb-di2-100-18089")</f>
        <v>0.0</v>
      </c>
      <c r="E1663" s="7" t="n">
        <f>HYPERLINK("https://www.somogyi.sk/productimages/product_main_images/small/18089.jpg","https://www.somogyi.sk/productimages/product_main_images/small/18089.jpg")</f>
        <v>0.0</v>
      </c>
      <c r="F1663" s="2" t="inlineStr">
        <is>
          <t>5999572900342</t>
        </is>
      </c>
      <c r="G1663" s="4" t="inlineStr">
        <is>
          <t>Stmievací modul je možné umiestniť do montážnej krabice za zostavami spínačov, má 2 spínateľné vstupy a 2 výstupy pre stmievanie. S jeho pomocou môžu naše spínače nastaviť zdroj svetla na 0-100%-nú svietivosť.</t>
        </is>
      </c>
    </row>
    <row r="1664">
      <c r="A1664" s="3" t="inlineStr">
        <is>
          <t>CH-WZB-SH2-100</t>
        </is>
      </c>
      <c r="B1664" s="2" t="inlineStr">
        <is>
          <t>Chameleon bezdrôtový nástenný modul na ovládanie žalúzie</t>
        </is>
      </c>
      <c r="C1664" s="1" t="n">
        <v>25.18</v>
      </c>
      <c r="D1664" s="7" t="n">
        <f>HYPERLINK("https://www.somogyi.sk/product/chameleon-bezdrotovy-nastenny-modul-na-ovladanie-zaluzie-ch-wzb-sh2-100-18088","https://www.somogyi.sk/product/chameleon-bezdrotovy-nastenny-modul-na-ovladanie-zaluzie-ch-wzb-sh2-100-18088")</f>
        <v>0.0</v>
      </c>
      <c r="E1664" s="7" t="n">
        <f>HYPERLINK("https://www.somogyi.sk/productimages/product_main_images/small/18088.jpg","https://www.somogyi.sk/productimages/product_main_images/small/18088.jpg")</f>
        <v>0.0</v>
      </c>
      <c r="F1664" s="2" t="inlineStr">
        <is>
          <t>5999572900359</t>
        </is>
      </c>
      <c r="G1664" s="4" t="inlineStr">
        <is>
          <t>Nástenný modul vhodný na ovládanie tienenia, s 2 spínateľnými vstupmi a 2 výstupmi (horná-dolná poloha, 10 A na jednom výstupe). Je určený na ovládanie žalúzií a závesov. Je populárnym prvkom automatizácií Chameleon.</t>
        </is>
      </c>
    </row>
    <row r="1665">
      <c r="A1665" s="3" t="inlineStr">
        <is>
          <t>CH-WZB-SW2-100</t>
        </is>
      </c>
      <c r="B1665" s="2" t="inlineStr">
        <is>
          <t>Chameleon bezdrôtový nástenný spínací modul</t>
        </is>
      </c>
      <c r="C1665" s="1" t="n">
        <v>25.18</v>
      </c>
      <c r="D1665" s="7" t="n">
        <f>HYPERLINK("https://www.somogyi.sk/product/chameleon-bezdrotovy-nastenny-spinaci-modul-ch-wzb-sw2-100-18087","https://www.somogyi.sk/product/chameleon-bezdrotovy-nastenny-spinaci-modul-ch-wzb-sw2-100-18087")</f>
        <v>0.0</v>
      </c>
      <c r="E1665" s="7" t="n">
        <f>HYPERLINK("https://www.somogyi.sk/productimages/product_main_images/small/18087.jpg","https://www.somogyi.sk/productimages/product_main_images/small/18087.jpg")</f>
        <v>0.0</v>
      </c>
      <c r="F1665" s="2" t="inlineStr">
        <is>
          <t>5999572900335</t>
        </is>
      </c>
      <c r="G1665" s="4" t="inlineStr">
        <is>
          <t>Spínací modul je možné umiestniť do montážnej krabice za spínacie zostavy. Má 2 spínateľné vstupy a 2 relé výstupy, dá sa použiť na spínanie svetelných okruhov.</t>
        </is>
      </c>
    </row>
    <row r="1666">
      <c r="A1666" s="6" t="inlineStr">
        <is>
          <t xml:space="preserve">   Meranie, nástroje, spájkovanie / Multimeter</t>
        </is>
      </c>
      <c r="B1666" s="6" t="inlineStr">
        <is>
          <t/>
        </is>
      </c>
      <c r="C1666" s="6" t="inlineStr">
        <is>
          <t/>
        </is>
      </c>
      <c r="D1666" s="6" t="inlineStr">
        <is>
          <t/>
        </is>
      </c>
      <c r="E1666" s="6" t="inlineStr">
        <is>
          <t/>
        </is>
      </c>
      <c r="F1666" s="6" t="inlineStr">
        <is>
          <t/>
        </is>
      </c>
      <c r="G1666" s="6" t="inlineStr">
        <is>
          <t/>
        </is>
      </c>
    </row>
    <row r="1667">
      <c r="A1667" s="3" t="inlineStr">
        <is>
          <t>SMA SMART 2</t>
        </is>
      </c>
      <c r="B1667" s="2" t="inlineStr">
        <is>
          <t>Digitálny multimeter</t>
        </is>
      </c>
      <c r="C1667" s="1" t="n">
        <v>34.99</v>
      </c>
      <c r="D1667" s="7" t="n">
        <f>HYPERLINK("https://www.somogyi.sk/product/digitalny-multimeter-sma-smart-2-18056","https://www.somogyi.sk/product/digitalny-multimeter-sma-smart-2-18056")</f>
        <v>0.0</v>
      </c>
      <c r="E1667" s="7" t="n">
        <f>HYPERLINK("https://www.somogyi.sk/productimages/product_main_images/small/18056.jpg","https://www.somogyi.sk/productimages/product_main_images/small/18056.jpg")</f>
        <v>0.0</v>
      </c>
      <c r="F1667" s="2" t="inlineStr">
        <is>
          <t>5999084960780</t>
        </is>
      </c>
      <c r="G1667" s="4" t="inlineStr">
        <is>
          <t xml:space="preserve"> • jednosmerné napätie: max.600 V 
 • striedavé napätie: max.600 V 
 • jednosmerný prúd: max.600 mA 
 • striedavý prúd: max.600 mA 
 • odpor: max.20 MΩ 
 • frekvencia: 40 - 1000 Hz 
 • displej: digitálny 
 • počítadlo: 1999 
 • test diódy: áno 
 • test prerušenia obvodu: áno 
 • N/A: áno 
 • automatická zmena meracej hranice: áno 
 • napájanie: 2 x CR 2032 
 • kategória merania: CAT III 600 V 
 • uloženie meranej hodnoty: áno 
 • rozmery: 67 x 133 x 18 mm 
 • hmotnosť: 130 g</t>
        </is>
      </c>
    </row>
    <row r="1668">
      <c r="A1668" s="3" t="inlineStr">
        <is>
          <t>VC 830L</t>
        </is>
      </c>
      <c r="B1668" s="2" t="inlineStr">
        <is>
          <t>Digitálny multimeter</t>
        </is>
      </c>
      <c r="C1668" s="1" t="n">
        <v>15.49</v>
      </c>
      <c r="D1668" s="7" t="n">
        <f>HYPERLINK("https://www.somogyi.sk/product/digitalny-multimeter-vc-830l-13767","https://www.somogyi.sk/product/digitalny-multimeter-vc-830l-13767")</f>
        <v>0.0</v>
      </c>
      <c r="E1668" s="7" t="n">
        <f>HYPERLINK("https://www.somogyi.sk/productimages/product_main_images/small/13767.jpg","https://www.somogyi.sk/productimages/product_main_images/small/13767.jpg")</f>
        <v>0.0</v>
      </c>
      <c r="F1668" s="2" t="inlineStr">
        <is>
          <t>5999084918194</t>
        </is>
      </c>
      <c r="G1668" s="4" t="inlineStr">
        <is>
          <t xml:space="preserve"> • jednosmerné napätie: 200 mV / 2 V / 20 V / 200 V / 600 V 
 • striedavé napätie: 200 V / 600 V 
 • jednosmerný prúd: 20 µA / 200 µA /  2 mA / 20 mA / 200 mA / 10 A 
 • odpor: 200 Ω / 2 KΩ / 20 kΩ / 200 KΩ  / 2 MΩ 
 • displej: digitálny 
 • počítadlo: 1999 
 • test diódy: áno 
 • test prerušenia obvodu: áno 
 • osvetlenie pozadia: áno 
 • napájanie: 9 V (6F22) 
 • kategória merania: CAT II 600 V 
 • uloženie meranej hodnoty: áno 
 • rozmery: 140 mm x 73 mm x 30 mm 
 • príslušenstvo: merací hrot, batéria</t>
        </is>
      </c>
    </row>
    <row r="1669">
      <c r="A1669" s="3" t="inlineStr">
        <is>
          <t>M 266AC</t>
        </is>
      </c>
      <c r="B1669" s="2" t="inlineStr">
        <is>
          <t>AC kliešťový multimeter</t>
        </is>
      </c>
      <c r="C1669" s="1" t="n">
        <v>30.99</v>
      </c>
      <c r="D1669" s="7" t="n">
        <f>HYPERLINK("https://www.somogyi.sk/product/ac-kliestovy-multimeter-m-266ac-16381","https://www.somogyi.sk/product/ac-kliestovy-multimeter-m-266ac-16381")</f>
        <v>0.0</v>
      </c>
      <c r="E1669" s="7" t="n">
        <f>HYPERLINK("https://www.somogyi.sk/productimages/product_main_images/small/16381.jpg","https://www.somogyi.sk/productimages/product_main_images/small/16381.jpg")</f>
        <v>0.0</v>
      </c>
      <c r="F1669" s="2" t="inlineStr">
        <is>
          <t>5999084944131</t>
        </is>
      </c>
      <c r="G1669" s="4" t="inlineStr">
        <is>
          <t xml:space="preserve"> • jednosmerné napätie: 1000 V 
 • striedavé napätie: 750 V 
 • striedavý prúd: 200 A / 1000 A 
 • odpor: 200 Ω / 20 KΩ 
 • displej: 3 1/2 digitový LCD 
 • počítadlo: 1999 
 • test prerušenia obvodu: áno 
 • osvetlenie pozadia: áno 
 • napájanie: 9 V (6F22) 
 • kategória merania: CAT II 1000 V, CAT III 600 V 
 • uloženie meranej hodnoty: áno 
 • rozmery: 96 mm x 235 mm x 46 mm</t>
        </is>
      </c>
    </row>
    <row r="1670">
      <c r="A1670" s="3" t="inlineStr">
        <is>
          <t>SMA 64</t>
        </is>
      </c>
      <c r="B1670" s="2" t="inlineStr">
        <is>
          <t>Digitálny multimeter</t>
        </is>
      </c>
      <c r="C1670" s="1" t="n">
        <v>53.99</v>
      </c>
      <c r="D1670" s="7" t="n">
        <f>HYPERLINK("https://www.somogyi.sk/product/digitalny-multimeter-sma-64-13759","https://www.somogyi.sk/product/digitalny-multimeter-sma-64-13759")</f>
        <v>0.0</v>
      </c>
      <c r="E1670" s="7" t="n">
        <f>HYPERLINK("https://www.somogyi.sk/productimages/product_main_images/small/13759.jpg","https://www.somogyi.sk/productimages/product_main_images/small/13759.jpg")</f>
        <v>0.0</v>
      </c>
      <c r="F1670" s="2" t="inlineStr">
        <is>
          <t>5999084918118</t>
        </is>
      </c>
      <c r="G1670" s="4" t="inlineStr">
        <is>
          <t xml:space="preserve"> • jednosmerné napätie: 200 mV / 2 V / 20 V / 200 V / 1000 V 
 • striedavé napätie: 2 V / 20 V / 200 V /750 V 
 • jednosmerný prúd: 2 mA / 20 mA / 200 mA / 10 A 
 • striedavý prúd: 20 mA / 200 mA / 10 A 
 • odpor: 200 Ω / 2 KΩ / 20 kΩ / 200 KΩ  / 2 MΩ / 20  MΩ /  200 MΩ 
 • kapacita: 2 nF / 20 nF / 200 nF / 2µF / 200  µF 
 • frekvencia: 20 KHz 
 • teplota: -20 °C - 1000 °C 
 • displej: digitálny 
 • počítadlo: 1999 
 • test diódy: áno 
 • test prerušenia obvodu: áno 
 • meranie tranzistora: áno 
 • ručná zmena meracej hranice: áno 
 • automatické vypnutie: áno 
 • napájanie: 9 V (6F22) 
 • kategória merania: CAT II 1000 V, CAT III 600 V 
 • uloženie meranej hodnoty: áno 
 • rozmery: 195 mm x 92 mm x 55 mm 
 • príslušenstvo: merací hrot, sonda na meranie teploty, zásuvka na testovanie tranzistora, batéria</t>
        </is>
      </c>
    </row>
    <row r="1671">
      <c r="A1671" s="3" t="inlineStr">
        <is>
          <t>SMA 92</t>
        </is>
      </c>
      <c r="B1671" s="2" t="inlineStr">
        <is>
          <t>Digitálny multimeter</t>
        </is>
      </c>
      <c r="C1671" s="1" t="n">
        <v>27.99</v>
      </c>
      <c r="D1671" s="7" t="n">
        <f>HYPERLINK("https://www.somogyi.sk/product/digitalny-multimeter-sma-92-13761","https://www.somogyi.sk/product/digitalny-multimeter-sma-92-13761")</f>
        <v>0.0</v>
      </c>
      <c r="E1671" s="7" t="n">
        <f>HYPERLINK("https://www.somogyi.sk/productimages/product_main_images/small/13761.jpg","https://www.somogyi.sk/productimages/product_main_images/small/13761.jpg")</f>
        <v>0.0</v>
      </c>
      <c r="F1671" s="2" t="inlineStr">
        <is>
          <t>5999084918132</t>
        </is>
      </c>
      <c r="G1671" s="4" t="inlineStr">
        <is>
          <t xml:space="preserve"> • jednosmerné napätie: 200 mV / 2 V / 20 V / 200 V / 600 V 
 • striedavé napätie: 2 V / 20 V / 200 V / 600 V 
 • jednosmerný prúd: 200 µA /  2 mA / 20 mA / 200 mA / 10 A 
 • striedavý prúd: 200 µA / 2 mA / 20 mA / 200 mA / 10 A 
 • odpor: 200 Ω / 2 KΩ / 20 kΩ / 200 KΩ  / 2 MΩ / 20 MΩ 
 • frekvencia: 20 KHz 
 • displej: digitálny 
 • počítadlo: 1999 
 • test diódy: áno 
 • test prerušenia obvodu: áno 
 • automatická zmena meracej hranice: áno 
 • uloženie maximálnej/minimálnej hodnoty: áno 
 • automatické vypnutie: áno 
 • osvetlenie pozadia: áno 
 • napájanie: 9 V (6F22) 
 • kategória merania: CAT II 600 V 
 • uloženie meranej hodnoty: áno 
 • rozmery: 140 mm x 67 mm x 30 mm 
 • príslušenstvo: merací hrot, batéria</t>
        </is>
      </c>
    </row>
    <row r="1672">
      <c r="A1672" s="3" t="inlineStr">
        <is>
          <t>SMA 830</t>
        </is>
      </c>
      <c r="B1672" s="2" t="inlineStr">
        <is>
          <t>Digitálny multimeter</t>
        </is>
      </c>
      <c r="C1672" s="1" t="n">
        <v>22.99</v>
      </c>
      <c r="D1672" s="7" t="n">
        <f>HYPERLINK("https://www.somogyi.sk/product/digitalny-multimeter-sma-830-13762","https://www.somogyi.sk/product/digitalny-multimeter-sma-830-13762")</f>
        <v>0.0</v>
      </c>
      <c r="E1672" s="7" t="n">
        <f>HYPERLINK("https://www.somogyi.sk/productimages/product_main_images/small/13762.jpg","https://www.somogyi.sk/productimages/product_main_images/small/13762.jpg")</f>
        <v>0.0</v>
      </c>
      <c r="F1672" s="2" t="inlineStr">
        <is>
          <t>5999084918149</t>
        </is>
      </c>
      <c r="G1672" s="4" t="inlineStr">
        <is>
          <t xml:space="preserve"> • jednosmerné napätie: 200 mV / 2 V / 20 V / 200 V / 600 V 
 • striedavé napätie: 200 V / 600 V 
 • jednosmerný prúd: 20 µA / 200 µA / 2 mA / 20mA / 200 mA / 10 A 
 • odpor: 200 Ω / 2 KΩ / 20 kΩ / 200 KΩ  / 2 MΩ 
 • displej: digitálny 
 • počítadlo: 1999 
 • test diódy: áno 
 • test prerušenia obvodu: áno 
 • napájanie: 9 V (6F22) 
 • kategória merania: CAT II 600 V 
 • uloženie meranej hodnoty: áno 
 • rozmery: 138 mm x 69 mm x 31 mm 
 • príslušenstvo: merací hrot, batéria</t>
        </is>
      </c>
    </row>
    <row r="1673">
      <c r="A1673" s="3" t="inlineStr">
        <is>
          <t>SMA 2101</t>
        </is>
      </c>
      <c r="B1673" s="2" t="inlineStr">
        <is>
          <t>Kliešťový multimeter AC / DC</t>
        </is>
      </c>
      <c r="C1673" s="1" t="n">
        <v>94.99</v>
      </c>
      <c r="D1673" s="7" t="n">
        <f>HYPERLINK("https://www.somogyi.sk/product/kliestovy-multimeter-ac-dc-sma-2101-13764","https://www.somogyi.sk/product/kliestovy-multimeter-ac-dc-sma-2101-13764")</f>
        <v>0.0</v>
      </c>
      <c r="E1673" s="7" t="n">
        <f>HYPERLINK("https://www.somogyi.sk/productimages/product_main_images/small/13764.jpg","https://www.somogyi.sk/productimages/product_main_images/small/13764.jpg")</f>
        <v>0.0</v>
      </c>
      <c r="F1673" s="2" t="inlineStr">
        <is>
          <t>5999084918163</t>
        </is>
      </c>
      <c r="G1673" s="4" t="inlineStr">
        <is>
          <t xml:space="preserve"> • jednosmerné napätie: 400 mV / 4 V / 40 V / 400 V / 600 V 
 • striedavé napätie: 4 V / 40 V / 400 V / 600 V 
 • jednosmerný prúd: 40 A / 400 A 
 • striedavý prúd: 40 A / 400 A 
 • odpor: 400 Ω / 4 KΩ / 40 kΩ / 400 KΩ  / 4 MΩ  / 40 MΩ 
 • kapacita: 40 nF / 400 nF / 4 µF / 40  µF/ 400  µF / 4000  µF / 
 • frekvencia: 9,999 Hz / 99,99 Hz / 999,9 Hz /9,999 KHz / 99,99 KHz / 999,9 KHz / 9,999 MHz 
 • faktor vyplnenia: 0 - 100 % 
 • displej: digitálny 
 • počítadlo: 4000 
 • test diódy: áno 
 • test prerušenia obvodu: áno 
 • relatívne meranie: áno 
 • ručná zmena meracej hranice: áno 
 • automatická zmena meracej hranice: áno 
 • uloženie maximálnej/minimálnej hodnoty: áno 
 • automatické vypnutie: áno 
 • osvetlenie pozadia: áno 
 • napájanie: 3 x 1,5 V (AAA) 
 • kategória merania: CAT III 600 V 
 • uloženie meranej hodnoty: áno 
 • rozmery: 208 mm x 78 mm x 35 mm 
 • príslušenstvo: merací hrot, ochranné puzdro, batéria</t>
        </is>
      </c>
    </row>
    <row r="1674">
      <c r="A1674" s="3" t="inlineStr">
        <is>
          <t>SMA 19</t>
        </is>
      </c>
      <c r="B1674" s="2" t="inlineStr">
        <is>
          <t>Digitálny multimeter</t>
        </is>
      </c>
      <c r="C1674" s="1" t="n">
        <v>59.99</v>
      </c>
      <c r="D1674" s="7" t="n">
        <f>HYPERLINK("https://www.somogyi.sk/product/digitalny-multimeter-sma-19-16090","https://www.somogyi.sk/product/digitalny-multimeter-sma-19-16090")</f>
        <v>0.0</v>
      </c>
      <c r="E1674" s="7" t="n">
        <f>HYPERLINK("https://www.somogyi.sk/productimages/product_main_images/small/16090.jpg","https://www.somogyi.sk/productimages/product_main_images/small/16090.jpg")</f>
        <v>0.0</v>
      </c>
      <c r="F1674" s="2" t="inlineStr">
        <is>
          <t>5999084941222</t>
        </is>
      </c>
      <c r="G1674" s="4" t="inlineStr">
        <is>
          <t xml:space="preserve"> • jednosmerné napätie: 600 mV / 6 V / 60 V / 600 V / 1000 V 
 • striedavé napätie: 6 V / 60 V / 600 V / 750 V 
 • jednosmerný prúd: 60 µA / 600 µA / 6 mA / 60mA / 600 mA / 10 A 
 • striedavý prúd: 60 µA / 600 µA / 6 mA / 60mA / 600 mA / 10 A 
 • odpor: 600 Ω / 6 KΩ / 60 KΩ / 600 KΩ  / 6 MΩ / 60  MΩ 
 • kapacita: 6 nF / 60 nF / 600 nF / 6µF / 60  µF / 600  µF / 60  mF / 100  mF 
 • frekvencia: 9.999 Hz - 9.999 MHz 
 • teplota: -20 °C - 1000 °C 
 • displej: digitálny 
 • počítadlo: 6000 
 • test diódy: áno 
 • test prerušenia obvodu: áno 
 • meranie tranzistora: áno 
 • automatická zmena meracej hranice: áno 
 • osvetlenie pozadia: áno 
 • kategória merania: CAT IV 600 V, CAT III 1000 
 • rozmery: 204 x 93 x 57 mm</t>
        </is>
      </c>
    </row>
    <row r="1675">
      <c r="A1675" s="6" t="inlineStr">
        <is>
          <t xml:space="preserve">   Meranie, nástroje, spájkovanie / Meracie hroty</t>
        </is>
      </c>
      <c r="B1675" s="6" t="inlineStr">
        <is>
          <t/>
        </is>
      </c>
      <c r="C1675" s="6" t="inlineStr">
        <is>
          <t/>
        </is>
      </c>
      <c r="D1675" s="6" t="inlineStr">
        <is>
          <t/>
        </is>
      </c>
      <c r="E1675" s="6" t="inlineStr">
        <is>
          <t/>
        </is>
      </c>
      <c r="F1675" s="6" t="inlineStr">
        <is>
          <t/>
        </is>
      </c>
      <c r="G1675" s="6" t="inlineStr">
        <is>
          <t/>
        </is>
      </c>
    </row>
    <row r="1676">
      <c r="A1676" s="3" t="inlineStr">
        <is>
          <t>MZ 3S</t>
        </is>
      </c>
      <c r="B1676" s="2" t="inlineStr">
        <is>
          <t>Merací hrot, silikónový, 10A, 1000V CAT III</t>
        </is>
      </c>
      <c r="C1676" s="1" t="n">
        <v>6.39</v>
      </c>
      <c r="D1676" s="7" t="n">
        <f>HYPERLINK("https://www.somogyi.sk/product/meraci-hrot-silikonovy-10a-1000v-cat-iii-mz-3s-17031","https://www.somogyi.sk/product/meraci-hrot-silikonovy-10a-1000v-cat-iii-mz-3s-17031")</f>
        <v>0.0</v>
      </c>
      <c r="E1676" s="7" t="n">
        <f>HYPERLINK("https://www.somogyi.sk/productimages/product_main_images/small/17031.jpg","https://www.somogyi.sk/productimages/product_main_images/small/17031.jpg")</f>
        <v>0.0</v>
      </c>
      <c r="F1676" s="2" t="inlineStr">
        <is>
          <t>5999084950637</t>
        </is>
      </c>
      <c r="G1676" s="4" t="inlineStr">
        <is>
          <t xml:space="preserve"> • max. prúd: 10 A 
 • kategória merania: 1000 V CAT II / 1000 V CAT III / 600 V CAT IV 
 • rozmery: 120 cm dlhý 20AWG kábel</t>
        </is>
      </c>
    </row>
    <row r="1677">
      <c r="A1677" s="3" t="inlineStr">
        <is>
          <t>MZ 4</t>
        </is>
      </c>
      <c r="B1677" s="2" t="inlineStr">
        <is>
          <t>Merací hrot, 10A 1000V CAT II, 1000V CAT III, 600V CAT IV, prémium</t>
        </is>
      </c>
      <c r="C1677" s="1" t="n">
        <v>10.99</v>
      </c>
      <c r="D1677" s="7" t="n">
        <f>HYPERLINK("https://www.somogyi.sk/product/meraci-hrot-10a-1000v-cat-ii-1000v-cat-iii-600v-cat-iv-premium-mz-4-16373","https://www.somogyi.sk/product/meraci-hrot-10a-1000v-cat-ii-1000v-cat-iii-600v-cat-iv-premium-mz-4-16373")</f>
        <v>0.0</v>
      </c>
      <c r="E1677" s="7" t="n">
        <f>HYPERLINK("https://www.somogyi.sk/productimages/product_main_images/small/16373.jpg","https://www.somogyi.sk/productimages/product_main_images/small/16373.jpg")</f>
        <v>0.0</v>
      </c>
      <c r="F1677" s="2" t="inlineStr">
        <is>
          <t>5999084944056</t>
        </is>
      </c>
      <c r="G1677" s="4" t="inlineStr">
        <is>
          <t xml:space="preserve"> • max. prúd: 10 A 
 • kategória merania: CAT III 1000 V, CAT IV 600 V 
 • rozmery: 1,35 m 
 • ďalšie informácie: meracie hroty možno pripojiť aj do banánikovej zásuvky</t>
        </is>
      </c>
    </row>
    <row r="1678">
      <c r="A1678" s="3" t="inlineStr">
        <is>
          <t>MZ 2M</t>
        </is>
      </c>
      <c r="B1678" s="2" t="inlineStr">
        <is>
          <t>Merací hrot, 10A, 600V CAT III</t>
        </is>
      </c>
      <c r="C1678" s="1" t="n">
        <v>4.19</v>
      </c>
      <c r="D1678" s="7" t="n">
        <f>HYPERLINK("https://www.somogyi.sk/product/meraci-hrot-10a-600v-cat-iii-mz-2m-17030","https://www.somogyi.sk/product/meraci-hrot-10a-600v-cat-iii-mz-2m-17030")</f>
        <v>0.0</v>
      </c>
      <c r="E1678" s="7" t="n">
        <f>HYPERLINK("https://www.somogyi.sk/productimages/product_main_images/small/17030.jpg","https://www.somogyi.sk/productimages/product_main_images/small/17030.jpg")</f>
        <v>0.0</v>
      </c>
      <c r="F1678" s="2" t="inlineStr">
        <is>
          <t>5999084950620</t>
        </is>
      </c>
      <c r="G1678" s="4" t="inlineStr">
        <is>
          <t xml:space="preserve"> • max. prúd: 10 A 
 • kategória merania: 600 V CAT II / 600 V CAT III 
 • rozmery: 90 cm dlhý 22AWG kábel</t>
        </is>
      </c>
    </row>
    <row r="1679">
      <c r="A1679" s="3" t="inlineStr">
        <is>
          <t>MVT 808ACE</t>
        </is>
      </c>
      <c r="B1679" s="2" t="inlineStr">
        <is>
          <t>Dvojpólová AC/DC skúšačka</t>
        </is>
      </c>
      <c r="C1679" s="1" t="n">
        <v>22.99</v>
      </c>
      <c r="D1679" s="7" t="n">
        <f>HYPERLINK("https://www.somogyi.sk/product/dvojpolova-ac-dc-skusacka-mvt-808ace-9382","https://www.somogyi.sk/product/dvojpolova-ac-dc-skusacka-mvt-808ace-9382")</f>
        <v>0.0</v>
      </c>
      <c r="E1679" s="7" t="n">
        <f>HYPERLINK("https://www.somogyi.sk/productimages/product_main_images/small/09382.jpg","https://www.somogyi.sk/productimages/product_main_images/small/09382.jpg")</f>
        <v>0.0</v>
      </c>
      <c r="F1679" s="2" t="inlineStr">
        <is>
          <t>5998312781814</t>
        </is>
      </c>
      <c r="G1679" s="4" t="inlineStr">
        <is>
          <t xml:space="preserve"> • merateľné napätie: 6-400 V AC/DC 
 • signalizácia: LED-kontrolkami 
 • rozmery: prístroj:  220 mm / kábel: 600 mm</t>
        </is>
      </c>
    </row>
    <row r="1680">
      <c r="A1680" s="3" t="inlineStr">
        <is>
          <t>MZ SMART</t>
        </is>
      </c>
      <c r="B1680" s="2" t="inlineStr">
        <is>
          <t>Merací hrot k SMA SMART, 10A, 600V CAT II / CAT III, max. 10 A , ~90 cm</t>
        </is>
      </c>
      <c r="C1680" s="1" t="n">
        <v>2.99</v>
      </c>
      <c r="D1680" s="7" t="n">
        <f>HYPERLINK("https://www.somogyi.sk/product/meraci-hrot-k-sma-smart-10a-600v-cat-ii-cat-iii-max-10-a-90-cm-mz-smart-18309","https://www.somogyi.sk/product/meraci-hrot-k-sma-smart-10a-600v-cat-ii-cat-iii-max-10-a-90-cm-mz-smart-18309")</f>
        <v>0.0</v>
      </c>
      <c r="E1680" s="7" t="n">
        <f>HYPERLINK("https://www.somogyi.sk/productimages/product_main_images/small/18309.jpg","https://www.somogyi.sk/productimages/product_main_images/small/18309.jpg")</f>
        <v>0.0</v>
      </c>
      <c r="F1680" s="2" t="inlineStr">
        <is>
          <t>5999084963316</t>
        </is>
      </c>
      <c r="G1680" s="4" t="inlineStr">
        <is>
          <t xml:space="preserve"> • max. prúd: 10 A 
 • kategória merania: 600V CAT II / 600V CAT III 
 • rozmery: ~90 cm dlhý</t>
        </is>
      </c>
    </row>
    <row r="1681">
      <c r="A1681" s="6" t="inlineStr">
        <is>
          <t xml:space="preserve">   Meranie, nástroje, spájkovanie / Multifunkčný hľadač, skúšačka fáz</t>
        </is>
      </c>
      <c r="B1681" s="6" t="inlineStr">
        <is>
          <t/>
        </is>
      </c>
      <c r="C1681" s="6" t="inlineStr">
        <is>
          <t/>
        </is>
      </c>
      <c r="D1681" s="6" t="inlineStr">
        <is>
          <t/>
        </is>
      </c>
      <c r="E1681" s="6" t="inlineStr">
        <is>
          <t/>
        </is>
      </c>
      <c r="F1681" s="6" t="inlineStr">
        <is>
          <t/>
        </is>
      </c>
      <c r="G1681" s="6" t="inlineStr">
        <is>
          <t/>
        </is>
      </c>
    </row>
    <row r="1682">
      <c r="A1682" s="3" t="inlineStr">
        <is>
          <t>VD 22</t>
        </is>
      </c>
      <c r="B1682" s="2" t="inlineStr">
        <is>
          <t>Skúšačka napätia</t>
        </is>
      </c>
      <c r="C1682" s="1" t="n">
        <v>5.19</v>
      </c>
      <c r="D1682" s="7" t="n">
        <f>HYPERLINK("https://www.somogyi.sk/product/skusacka-napatia-vd-22-14616","https://www.somogyi.sk/product/skusacka-napatia-vd-22-14616")</f>
        <v>0.0</v>
      </c>
      <c r="E1682" s="7" t="n">
        <f>HYPERLINK("https://www.somogyi.sk/productimages/product_main_images/small/14616.jpg","https://www.somogyi.sk/productimages/product_main_images/small/14616.jpg")</f>
        <v>0.0</v>
      </c>
      <c r="F1682" s="2" t="inlineStr">
        <is>
          <t>5999084926588</t>
        </is>
      </c>
      <c r="G1682" s="4" t="inlineStr">
        <is>
          <t xml:space="preserve"> • charakteristika: vyhľadávanie striedavého napätia 
 • bezdotykové hľadanie: áno 
 • galvanické hľadanie: nie 
 • zvuková signalizácia: áno 
 • svetelná signalizácia: áno 
 • LED lampa: áno 
 • napájanie: 2 x AAA batéria  (nie je príslušenstvo) 
 • rozmery: 150 x 16 x 20 mm</t>
        </is>
      </c>
    </row>
    <row r="1683">
      <c r="A1683" s="3" t="inlineStr">
        <is>
          <t>FC 20</t>
        </is>
      </c>
      <c r="B1683" s="2" t="inlineStr">
        <is>
          <t>Skúšačka fáz, 19 cm</t>
        </is>
      </c>
      <c r="C1683" s="1" t="n">
        <v>2.39</v>
      </c>
      <c r="D1683" s="7" t="n">
        <f>HYPERLINK("https://www.somogyi.sk/product/skusacka-faz-19-cm-fc-20-8677","https://www.somogyi.sk/product/skusacka-faz-19-cm-fc-20-8677")</f>
        <v>0.0</v>
      </c>
      <c r="E1683" s="7" t="n">
        <f>HYPERLINK("https://www.somogyi.sk/productimages/product_main_images/small/08677.jpg","https://www.somogyi.sk/productimages/product_main_images/small/08677.jpg")</f>
        <v>0.0</v>
      </c>
      <c r="F1683" s="2" t="inlineStr">
        <is>
          <t>5998312775691</t>
        </is>
      </c>
      <c r="G1683" s="4" t="inlineStr">
        <is>
          <t xml:space="preserve"> • charakteristika: skúšačka fáz 
 • bezdotykové hľadanie: nie 
 • galvanické hľadanie: áno 
 • zvuková signalizácia: nie 
 • svetelná signalizácia: áno 
 • LED lampa: nie 
 • rozmery: 190 mm</t>
        </is>
      </c>
    </row>
    <row r="1684">
      <c r="A1684" s="3" t="inlineStr">
        <is>
          <t>VD 44</t>
        </is>
      </c>
      <c r="B1684" s="2" t="inlineStr">
        <is>
          <t>Skúšačka napätia, bezdotyková</t>
        </is>
      </c>
      <c r="C1684" s="1" t="n">
        <v>9.99</v>
      </c>
      <c r="D1684" s="7" t="n">
        <f>HYPERLINK("https://www.somogyi.sk/product/skusacka-napatia-bezdotykova-vd-44-18184","https://www.somogyi.sk/product/skusacka-napatia-bezdotykova-vd-44-18184")</f>
        <v>0.0</v>
      </c>
      <c r="E1684" s="7" t="n">
        <f>HYPERLINK("https://www.somogyi.sk/productimages/product_main_images/small/18184.jpg","https://www.somogyi.sk/productimages/product_main_images/small/18184.jpg")</f>
        <v>0.0</v>
      </c>
      <c r="F1684" s="2" t="inlineStr">
        <is>
          <t>5999084962067</t>
        </is>
      </c>
      <c r="G1684" s="4" t="inlineStr">
        <is>
          <t xml:space="preserve"> • bezdotykové hľadanie: áno (~12/48-1000V AC) 
 • zvuková signalizácia: áno 
 • svetelná signalizácia: áno (s červeným svetlom) 
 • LED lampa: áno 
 •  
 • napájanie: 2 x 1,5 V (AAA) batéria, nie je príslušenstvom 
 • rozmery: 158 x 20 x 20 mm</t>
        </is>
      </c>
    </row>
    <row r="1685">
      <c r="A1685" s="3" t="inlineStr">
        <is>
          <t>FC 10</t>
        </is>
      </c>
      <c r="B1685" s="2" t="inlineStr">
        <is>
          <t>Skúšačka fáz, 14 cm</t>
        </is>
      </c>
      <c r="C1685" s="1" t="n">
        <v>1.69</v>
      </c>
      <c r="D1685" s="7" t="n">
        <f>HYPERLINK("https://www.somogyi.sk/product/skusacka-faz-14-cm-fc-10-8676","https://www.somogyi.sk/product/skusacka-faz-14-cm-fc-10-8676")</f>
        <v>0.0</v>
      </c>
      <c r="E1685" s="7" t="n">
        <f>HYPERLINK("https://www.somogyi.sk/productimages/product_main_images/small/08676.jpg","https://www.somogyi.sk/productimages/product_main_images/small/08676.jpg")</f>
        <v>0.0</v>
      </c>
      <c r="F1685" s="2" t="inlineStr">
        <is>
          <t>5998312775684</t>
        </is>
      </c>
      <c r="G1685" s="4" t="inlineStr">
        <is>
          <t xml:space="preserve"> • charakteristika: skúšačka fáz 
 • bezdotykové hľadanie: nie 
 • galvanické hľadanie: áno 
 • zvuková signalizácia: nie 
 • svetelná signalizácia: áno 
 • LED lampa: nie 
 • rozmery: 140 mm</t>
        </is>
      </c>
    </row>
    <row r="1686">
      <c r="A1686" s="6" t="inlineStr">
        <is>
          <t xml:space="preserve">   Meranie, nástroje, spájkovanie / Zvinovací meter</t>
        </is>
      </c>
      <c r="B1686" s="6" t="inlineStr">
        <is>
          <t/>
        </is>
      </c>
      <c r="C1686" s="6" t="inlineStr">
        <is>
          <t/>
        </is>
      </c>
      <c r="D1686" s="6" t="inlineStr">
        <is>
          <t/>
        </is>
      </c>
      <c r="E1686" s="6" t="inlineStr">
        <is>
          <t/>
        </is>
      </c>
      <c r="F1686" s="6" t="inlineStr">
        <is>
          <t/>
        </is>
      </c>
      <c r="G1686" s="6" t="inlineStr">
        <is>
          <t/>
        </is>
      </c>
    </row>
    <row r="1687">
      <c r="A1687" s="3" t="inlineStr">
        <is>
          <t>MTP 5-25</t>
        </is>
      </c>
      <c r="B1687" s="2" t="inlineStr">
        <is>
          <t>Zvinovací meter, 5m</t>
        </is>
      </c>
      <c r="C1687" s="1" t="n">
        <v>3.39</v>
      </c>
      <c r="D1687" s="7" t="n">
        <f>HYPERLINK("https://www.somogyi.sk/product/zvinovaci-meter-5m-mtp-5-25-5059","https://www.somogyi.sk/product/zvinovaci-meter-5m-mtp-5-25-5059")</f>
        <v>0.0</v>
      </c>
      <c r="E1687" s="7" t="n">
        <f>HYPERLINK("https://www.somogyi.sk/productimages/product_main_images/small/05059.jpg","https://www.somogyi.sk/productimages/product_main_images/small/05059.jpg")</f>
        <v>0.0</v>
      </c>
      <c r="F1687" s="2" t="inlineStr">
        <is>
          <t>5998312744512</t>
        </is>
      </c>
      <c r="G1687" s="4" t="inlineStr">
        <is>
          <t xml:space="preserve"> • funkcia: zvinovací meter 
 • štipec na opasok: áno 
 • úchytný koniec: áno 
 • funkcia blokovania: áno 
 • dĺžka / šírka: 5 m / 19 mm 
 • magnetický podstavec: nie</t>
        </is>
      </c>
    </row>
    <row r="1688">
      <c r="A1688" s="6" t="inlineStr">
        <is>
          <t xml:space="preserve">   Meranie, nástroje, spájkovanie / Banániková prípojka</t>
        </is>
      </c>
      <c r="B1688" s="6" t="inlineStr">
        <is>
          <t/>
        </is>
      </c>
      <c r="C1688" s="6" t="inlineStr">
        <is>
          <t/>
        </is>
      </c>
      <c r="D1688" s="6" t="inlineStr">
        <is>
          <t/>
        </is>
      </c>
      <c r="E1688" s="6" t="inlineStr">
        <is>
          <t/>
        </is>
      </c>
      <c r="F1688" s="6" t="inlineStr">
        <is>
          <t/>
        </is>
      </c>
      <c r="G1688" s="6" t="inlineStr">
        <is>
          <t/>
        </is>
      </c>
    </row>
    <row r="1689">
      <c r="A1689" s="3" t="inlineStr">
        <is>
          <t>BA 2/RD</t>
        </is>
      </c>
      <c r="B1689" s="2" t="inlineStr">
        <is>
          <t>Banániková zásuvka, červená, spájkovacia</t>
        </is>
      </c>
      <c r="C1689" s="1" t="n">
        <v>0.59</v>
      </c>
      <c r="D1689" s="7" t="n">
        <f>HYPERLINK("https://www.somogyi.sk/product/bananikova-zasuvka-cervena-spajkovacia-ba-2-rd-2073","https://www.somogyi.sk/product/bananikova-zasuvka-cervena-spajkovacia-ba-2-rd-2073")</f>
        <v>0.0</v>
      </c>
      <c r="E1689" s="7" t="n">
        <f>HYPERLINK("https://www.somogyi.sk/productimages/product_main_images/small/02073.jpg","https://www.somogyi.sk/productimages/product_main_images/small/02073.jpg")</f>
        <v>0.0</v>
      </c>
      <c r="F1689" s="2" t="inlineStr">
        <is>
          <t>5998312723067</t>
        </is>
      </c>
      <c r="G1689" s="4" t="inlineStr">
        <is>
          <t xml:space="preserve"> • vidlica: nie 
 • zásuvka: áno 
 • pozlátený: nie 
 • zabudovateľná: nie 
 • voľná: áno 
 • spájkovateľné pripojenie: áno 
 • montážne rozmery: Ø7,8 mm</t>
        </is>
      </c>
    </row>
    <row r="1690">
      <c r="A1690" s="3" t="inlineStr">
        <is>
          <t>BA 2/BK</t>
        </is>
      </c>
      <c r="B1690" s="2" t="inlineStr">
        <is>
          <t>Banániková zásuvka, čierna, spájkovacia</t>
        </is>
      </c>
      <c r="C1690" s="1" t="n">
        <v>0.59</v>
      </c>
      <c r="D1690" s="7" t="n">
        <f>HYPERLINK("https://www.somogyi.sk/product/bananikova-zasuvka-cierna-spajkovacia-ba-2-bk-2074","https://www.somogyi.sk/product/bananikova-zasuvka-cierna-spajkovacia-ba-2-bk-2074")</f>
        <v>0.0</v>
      </c>
      <c r="E1690" s="7" t="n">
        <f>HYPERLINK("https://www.somogyi.sk/productimages/product_main_images/small/02074.jpg","https://www.somogyi.sk/productimages/product_main_images/small/02074.jpg")</f>
        <v>0.0</v>
      </c>
      <c r="F1690" s="2" t="inlineStr">
        <is>
          <t>5998312723074</t>
        </is>
      </c>
      <c r="G1690" s="4" t="inlineStr">
        <is>
          <t xml:space="preserve"> • vidlica: nie 
 • zásuvka: áno 
 • pozlátený: nie 
 • zabudovateľná: nie 
 • voľná: áno 
 • spájkovateľné pripojenie: áno 
 • montážne rozmery: Ø7,8 mm</t>
        </is>
      </c>
    </row>
    <row r="1691">
      <c r="A1691" s="3" t="inlineStr">
        <is>
          <t>BD 4/RD</t>
        </is>
      </c>
      <c r="B1691" s="2" t="inlineStr">
        <is>
          <t>Banániková vidlica, červená</t>
        </is>
      </c>
      <c r="C1691" s="1" t="n">
        <v>0.69</v>
      </c>
      <c r="D1691" s="7" t="n">
        <f>HYPERLINK("https://www.somogyi.sk/product/bananikova-vidlica-cervena-bd-4-rd-4278","https://www.somogyi.sk/product/bananikova-vidlica-cervena-bd-4-rd-4278")</f>
        <v>0.0</v>
      </c>
      <c r="E1691" s="7" t="n">
        <f>HYPERLINK("https://www.somogyi.sk/productimages/product_main_images/small/04278.jpg","https://www.somogyi.sk/productimages/product_main_images/small/04278.jpg")</f>
        <v>0.0</v>
      </c>
      <c r="F1691" s="2" t="inlineStr">
        <is>
          <t>5998312709030</t>
        </is>
      </c>
      <c r="G1691" s="4" t="inlineStr">
        <is>
          <t xml:space="preserve"> • vidlica: áno 
 • zásuvka: nie 
 • pozlátený: nie 
 • zabudovateľná: áno 
 • voľná: nie 
 • spájkovateľné pripojenie: nie 
 • skrutkovateľná: áno</t>
        </is>
      </c>
    </row>
    <row r="1692">
      <c r="A1692" s="3" t="inlineStr">
        <is>
          <t>BD 5G/RD</t>
        </is>
      </c>
      <c r="B1692" s="2" t="inlineStr">
        <is>
          <t>Banániková vidlica, červená, pozlátená</t>
        </is>
      </c>
      <c r="C1692" s="1" t="n">
        <v>1.39</v>
      </c>
      <c r="D1692" s="7" t="n">
        <f>HYPERLINK("https://www.somogyi.sk/product/bananikova-vidlica-cervena-pozlatena-bd-5g-rd-4767","https://www.somogyi.sk/product/bananikova-vidlica-cervena-pozlatena-bd-5g-rd-4767")</f>
        <v>0.0</v>
      </c>
      <c r="E1692" s="7" t="n">
        <f>HYPERLINK("https://www.somogyi.sk/productimages/product_main_images/small/04767.jpg","https://www.somogyi.sk/productimages/product_main_images/small/04767.jpg")</f>
        <v>0.0</v>
      </c>
      <c r="F1692" s="2" t="inlineStr">
        <is>
          <t>5998312742105</t>
        </is>
      </c>
      <c r="G1692" s="4" t="inlineStr">
        <is>
          <t xml:space="preserve"> • vidlica: áno 
 • zásuvka: nie 
 • pozlátený: áno 
 • zabudovateľná: áno 
 • voľná: nie 
 • spájkovateľné pripojenie: nie 
 • skrutkovateľná: áno</t>
        </is>
      </c>
    </row>
    <row r="1693">
      <c r="A1693" s="3" t="inlineStr">
        <is>
          <t>BD 4/BK</t>
        </is>
      </c>
      <c r="B1693" s="2" t="inlineStr">
        <is>
          <t>Banániková vidlica, čierna</t>
        </is>
      </c>
      <c r="C1693" s="1" t="n">
        <v>0.69</v>
      </c>
      <c r="D1693" s="7" t="n">
        <f>HYPERLINK("https://www.somogyi.sk/product/bananikova-vidlica-cierna-bd-4-bk-4277","https://www.somogyi.sk/product/bananikova-vidlica-cierna-bd-4-bk-4277")</f>
        <v>0.0</v>
      </c>
      <c r="E1693" s="7" t="n">
        <f>HYPERLINK("https://www.somogyi.sk/productimages/product_main_images/small/04277.jpg","https://www.somogyi.sk/productimages/product_main_images/small/04277.jpg")</f>
        <v>0.0</v>
      </c>
      <c r="F1693" s="2" t="inlineStr">
        <is>
          <t>5998312709023</t>
        </is>
      </c>
      <c r="G1693" s="4" t="inlineStr">
        <is>
          <t xml:space="preserve"> • vidlica: áno 
 • zásuvka: nie 
 • pozlátený: nie 
 • zabudovateľná: áno 
 • voľná: nie 
 • spájkovateľné pripojenie: nie 
 • skrutkovateľná: áno</t>
        </is>
      </c>
    </row>
    <row r="1694">
      <c r="A1694" s="3" t="inlineStr">
        <is>
          <t>BD 5G/BK</t>
        </is>
      </c>
      <c r="B1694" s="2" t="inlineStr">
        <is>
          <t>Banániková vidlica, čierna, pozlátená</t>
        </is>
      </c>
      <c r="C1694" s="1" t="n">
        <v>1.39</v>
      </c>
      <c r="D1694" s="7" t="n">
        <f>HYPERLINK("https://www.somogyi.sk/product/bananikova-vidlica-cierna-pozlatena-bd-5g-bk-4766","https://www.somogyi.sk/product/bananikova-vidlica-cierna-pozlatena-bd-5g-bk-4766")</f>
        <v>0.0</v>
      </c>
      <c r="E1694" s="7" t="n">
        <f>HYPERLINK("https://www.somogyi.sk/productimages/product_main_images/small/04766.jpg","https://www.somogyi.sk/productimages/product_main_images/small/04766.jpg")</f>
        <v>0.0</v>
      </c>
      <c r="F1694" s="2" t="inlineStr">
        <is>
          <t>5998312742099</t>
        </is>
      </c>
      <c r="G1694" s="4" t="inlineStr">
        <is>
          <t xml:space="preserve"> • vidlica: áno 
 • zásuvka: nie 
 • pozlátený: áno 
 • zabudovateľná: áno 
 • voľná: nie 
 • spájkovateľné pripojenie: nie 
 • skrutkovateľná: áno</t>
        </is>
      </c>
    </row>
    <row r="1695">
      <c r="A1695" s="6" t="inlineStr">
        <is>
          <t xml:space="preserve">   Meranie, nástroje, spájkovanie / Elektrická spájkovacia stanica, príslušenstvo</t>
        </is>
      </c>
      <c r="B1695" s="6" t="inlineStr">
        <is>
          <t/>
        </is>
      </c>
      <c r="C1695" s="6" t="inlineStr">
        <is>
          <t/>
        </is>
      </c>
      <c r="D1695" s="6" t="inlineStr">
        <is>
          <t/>
        </is>
      </c>
      <c r="E1695" s="6" t="inlineStr">
        <is>
          <t/>
        </is>
      </c>
      <c r="F1695" s="6" t="inlineStr">
        <is>
          <t/>
        </is>
      </c>
      <c r="G1695" s="6" t="inlineStr">
        <is>
          <t/>
        </is>
      </c>
    </row>
    <row r="1696">
      <c r="A1696" s="3" t="inlineStr">
        <is>
          <t>SMA 050</t>
        </is>
      </c>
      <c r="B1696" s="2" t="inlineStr">
        <is>
          <t>Spájkovacia stanica</t>
        </is>
      </c>
      <c r="C1696" s="1" t="n">
        <v>63.99</v>
      </c>
      <c r="D1696" s="7" t="n">
        <f>HYPERLINK("https://www.somogyi.sk/product/spajkovacia-stanica-sma-050-6710","https://www.somogyi.sk/product/spajkovacia-stanica-sma-050-6710")</f>
        <v>0.0</v>
      </c>
      <c r="E1696" s="7" t="n">
        <f>HYPERLINK("https://www.somogyi.sk/productimages/product_main_images/small/06710.jpg","https://www.somogyi.sk/productimages/product_main_images/small/06710.jpg")</f>
        <v>0.0</v>
      </c>
      <c r="F1696" s="2" t="inlineStr">
        <is>
          <t>5998312757468</t>
        </is>
      </c>
      <c r="G1696" s="4" t="inlineStr">
        <is>
          <t xml:space="preserve"> • výkon: 48 W 
 • regulovateľná teplota: 150 - 420 °C 
 • zobrazenie teploty na digitálnom displeji: nie 
 • zobrazenie teploty na LED  displeji: áno 
 • teplovzdorný silikónový kábel: áno 
 • dĺžka kábla: 1 m 
 • ďalšie informácie: vyberateľná špongia s táckou, nastaviteľný sklon spájkovačky,  silikónová guma na rukoväti 
 • kompatibilita: hroty: SMA 055, SMA 056, SMA 057, SMA 058, SMA 059 / náhradná spájkovačka:  SMA 5051T 
 • príslušenstvo: spájkovacia stanica, špongia 
 • napájanie: 230 V~  / 50 Hz</t>
        </is>
      </c>
    </row>
    <row r="1697">
      <c r="A1697" s="3" t="inlineStr">
        <is>
          <t>SMA 058</t>
        </is>
      </c>
      <c r="B1697" s="2" t="inlineStr">
        <is>
          <t>Spájkovací hrot</t>
        </is>
      </c>
      <c r="C1697" s="1" t="n">
        <v>1.99</v>
      </c>
      <c r="D1697" s="7" t="n">
        <f>HYPERLINK("https://www.somogyi.sk/product/spajkovaci-hrot-sma-058-6827","https://www.somogyi.sk/product/spajkovaci-hrot-sma-058-6827")</f>
        <v>0.0</v>
      </c>
      <c r="E1697" s="7" t="n">
        <f>HYPERLINK("https://www.somogyi.sk/productimages/product_main_images/small/06827.jpg","https://www.somogyi.sk/productimages/product_main_images/small/06827.jpg")</f>
        <v>0.0</v>
      </c>
      <c r="F1697" s="2" t="inlineStr">
        <is>
          <t>5998312758458</t>
        </is>
      </c>
      <c r="G1697" s="4" t="inlineStr">
        <is>
          <t xml:space="preserve"> • kompatibilita: spájkovacia stanica SMA 51 / SMA 50 
 • rozmery: 1,2 mm /plochý hrot</t>
        </is>
      </c>
    </row>
    <row r="1698">
      <c r="A1698" s="3" t="inlineStr">
        <is>
          <t>SMA 056</t>
        </is>
      </c>
      <c r="B1698" s="2" t="inlineStr">
        <is>
          <t>Spájkovací hrot</t>
        </is>
      </c>
      <c r="C1698" s="1" t="n">
        <v>1.99</v>
      </c>
      <c r="D1698" s="7" t="n">
        <f>HYPERLINK("https://www.somogyi.sk/product/spajkovaci-hrot-sma-056-6825","https://www.somogyi.sk/product/spajkovaci-hrot-sma-056-6825")</f>
        <v>0.0</v>
      </c>
      <c r="E1698" s="7" t="n">
        <f>HYPERLINK("https://www.somogyi.sk/productimages/product_main_images/small/06825.jpg","https://www.somogyi.sk/productimages/product_main_images/small/06825.jpg")</f>
        <v>0.0</v>
      </c>
      <c r="F1698" s="2" t="inlineStr">
        <is>
          <t>5998312758434</t>
        </is>
      </c>
      <c r="G1698" s="4" t="inlineStr">
        <is>
          <t xml:space="preserve"> • kompatibilita: spájkovacia  stanica SMA 51 / SMA 50 
 • rozmery: 0,4 mm / špicatý hrot</t>
        </is>
      </c>
    </row>
    <row r="1699">
      <c r="A1699" s="3" t="inlineStr">
        <is>
          <t>SMA 057</t>
        </is>
      </c>
      <c r="B1699" s="2" t="inlineStr">
        <is>
          <t>Spájkovací hrot</t>
        </is>
      </c>
      <c r="C1699" s="1" t="n">
        <v>1.99</v>
      </c>
      <c r="D1699" s="7" t="n">
        <f>HYPERLINK("https://www.somogyi.sk/product/spajkovaci-hrot-sma-057-6826","https://www.somogyi.sk/product/spajkovaci-hrot-sma-057-6826")</f>
        <v>0.0</v>
      </c>
      <c r="E1699" s="7" t="n">
        <f>HYPERLINK("https://www.somogyi.sk/productimages/product_main_images/small/06826.jpg","https://www.somogyi.sk/productimages/product_main_images/small/06826.jpg")</f>
        <v>0.0</v>
      </c>
      <c r="F1699" s="2" t="inlineStr">
        <is>
          <t>5998312758441</t>
        </is>
      </c>
      <c r="G1699" s="4" t="inlineStr">
        <is>
          <t xml:space="preserve"> • kompatibilita: spájkovacia stanica SMA 51 / SMA 50 
 • rozmery: 3,2 mm /plochý hrot</t>
        </is>
      </c>
    </row>
    <row r="1700">
      <c r="A1700" s="3" t="inlineStr">
        <is>
          <t>SMA 5051T</t>
        </is>
      </c>
      <c r="B1700" s="2" t="inlineStr">
        <is>
          <t>Náhradná spájkovačka k SMA 050, 051</t>
        </is>
      </c>
      <c r="C1700" s="1" t="n">
        <v>13.49</v>
      </c>
      <c r="D1700" s="7" t="n">
        <f>HYPERLINK("https://www.somogyi.sk/product/nahradna-spajkovacka-k-sma-050-051-sma-5051t-9770","https://www.somogyi.sk/product/nahradna-spajkovacka-k-sma-050-051-sma-5051t-9770")</f>
        <v>0.0</v>
      </c>
      <c r="E1700" s="7" t="n">
        <f>HYPERLINK("https://www.somogyi.sk/productimages/product_main_images/small/09770.jpg","https://www.somogyi.sk/productimages/product_main_images/small/09770.jpg")</f>
        <v>0.0</v>
      </c>
      <c r="F1700" s="2" t="inlineStr">
        <is>
          <t>5998312784990</t>
        </is>
      </c>
      <c r="G1700" s="4" t="inlineStr">
        <is>
          <t xml:space="preserve"> • výkon: 48 W 
 • teplovzdorný silikónový kábel: áno 
 • dĺžka kábla: 1 m 
 • ďalšie informácie: silikónová guma na rukoväti 
 • kompatibilita: spájkovacia stanica SMA 51 / SMA 50</t>
        </is>
      </c>
    </row>
    <row r="1701">
      <c r="A1701" s="3" t="inlineStr">
        <is>
          <t>SMA 051</t>
        </is>
      </c>
      <c r="B1701" s="2" t="inlineStr">
        <is>
          <t>Spájkovacia stanica</t>
        </is>
      </c>
      <c r="C1701" s="1" t="n">
        <v>97.99</v>
      </c>
      <c r="D1701" s="7" t="n">
        <f>HYPERLINK("https://www.somogyi.sk/product/spajkovacia-stanica-sma-051-6709","https://www.somogyi.sk/product/spajkovacia-stanica-sma-051-6709")</f>
        <v>0.0</v>
      </c>
      <c r="E1701" s="7" t="n">
        <f>HYPERLINK("https://www.somogyi.sk/productimages/product_main_images/small/06709.jpg","https://www.somogyi.sk/productimages/product_main_images/small/06709.jpg")</f>
        <v>0.0</v>
      </c>
      <c r="F1701" s="2" t="inlineStr">
        <is>
          <t>5998312757451</t>
        </is>
      </c>
      <c r="G1701" s="4" t="inlineStr">
        <is>
          <t xml:space="preserve"> • 230 V∼/48 W 
 • rýchle ohrievanie 
 • nastaviteľná a kontrolovateľná teplota (150 - 420 °C) 
 • trojciferný červený LED displej 
 • tepluodolný silikónový kábel 
 • silikónová guma na rukoväti 
 • náhradná spájkovačka: SMA 5051T 
 • bez nástroja vymeniteľný hrot 
 • čistiaca špongia s táckou 
 • nastaviteľný držiak na spájku</t>
        </is>
      </c>
    </row>
    <row r="1702">
      <c r="A1702" s="3" t="inlineStr">
        <is>
          <t>SMA 059</t>
        </is>
      </c>
      <c r="B1702" s="2" t="inlineStr">
        <is>
          <t>Spájkovací hrot</t>
        </is>
      </c>
      <c r="C1702" s="1" t="n">
        <v>1.99</v>
      </c>
      <c r="D1702" s="7" t="n">
        <f>HYPERLINK("https://www.somogyi.sk/product/spajkovaci-hrot-sma-059-6828","https://www.somogyi.sk/product/spajkovaci-hrot-sma-059-6828")</f>
        <v>0.0</v>
      </c>
      <c r="E1702" s="7" t="n">
        <f>HYPERLINK("https://www.somogyi.sk/productimages/product_main_images/small/06828.jpg","https://www.somogyi.sk/productimages/product_main_images/small/06828.jpg")</f>
        <v>0.0</v>
      </c>
      <c r="F1702" s="2" t="inlineStr">
        <is>
          <t>5998312758465</t>
        </is>
      </c>
      <c r="G1702" s="4" t="inlineStr">
        <is>
          <t xml:space="preserve"> • kompatibilita: spájkovacia stanica SMA 51 / SMA 50 
 • rozmery: 1,2 mm / špicatý hrot</t>
        </is>
      </c>
    </row>
    <row r="1703">
      <c r="A1703" s="6" t="inlineStr">
        <is>
          <t xml:space="preserve">   Meranie, nástroje, spájkovanie / Elektrická spájkovačka, plynová spájkovačka, spájkovacia pištoľ</t>
        </is>
      </c>
      <c r="B1703" s="6" t="inlineStr">
        <is>
          <t/>
        </is>
      </c>
      <c r="C1703" s="6" t="inlineStr">
        <is>
          <t/>
        </is>
      </c>
      <c r="D1703" s="6" t="inlineStr">
        <is>
          <t/>
        </is>
      </c>
      <c r="E1703" s="6" t="inlineStr">
        <is>
          <t/>
        </is>
      </c>
      <c r="F1703" s="6" t="inlineStr">
        <is>
          <t/>
        </is>
      </c>
      <c r="G1703" s="6" t="inlineStr">
        <is>
          <t/>
        </is>
      </c>
    </row>
    <row r="1704">
      <c r="A1704" s="3" t="inlineStr">
        <is>
          <t>PP 75T</t>
        </is>
      </c>
      <c r="B1704" s="2" t="inlineStr">
        <is>
          <t>Spájkovací hrot k PP 75, meď s niklovým náterom</t>
        </is>
      </c>
      <c r="C1704" s="1" t="n">
        <v>3.09</v>
      </c>
      <c r="D1704" s="7" t="n">
        <f>HYPERLINK("https://www.somogyi.sk/product/spajkovaci-hrot-k-pp-75-med-s-niklovym-naterom-pp-75t-16317","https://www.somogyi.sk/product/spajkovaci-hrot-k-pp-75-med-s-niklovym-naterom-pp-75t-16317")</f>
        <v>0.0</v>
      </c>
      <c r="E1704" s="7" t="n">
        <f>HYPERLINK("https://www.somogyi.sk/productimages/product_main_images/small/16317.jpg","https://www.somogyi.sk/productimages/product_main_images/small/16317.jpg")</f>
        <v>0.0</v>
      </c>
      <c r="F1704" s="2" t="inlineStr">
        <is>
          <t>5999084943493</t>
        </is>
      </c>
      <c r="G1704" s="4" t="inlineStr">
        <is>
          <t xml:space="preserve"> • kompatibilita: k PP 75 
 • rozmery: 40 mm / 1,5 mm² meď s niklovým náterom 
 • balenie: 10 ks / balenie</t>
        </is>
      </c>
    </row>
    <row r="1705">
      <c r="A1705" s="3" t="inlineStr">
        <is>
          <t>SG 109</t>
        </is>
      </c>
      <c r="B1705" s="2" t="inlineStr">
        <is>
          <t>Spájkovacia pištoľ</t>
        </is>
      </c>
      <c r="C1705" s="1" t="n">
        <v>18.49</v>
      </c>
      <c r="D1705" s="7" t="n">
        <f>HYPERLINK("https://www.somogyi.sk/product/spajkovacia-pistol-sg-109-6708","https://www.somogyi.sk/product/spajkovacia-pistol-sg-109-6708")</f>
        <v>0.0</v>
      </c>
      <c r="E1705" s="7" t="n">
        <f>HYPERLINK("https://www.somogyi.sk/productimages/product_main_images/small/06708.jpg","https://www.somogyi.sk/productimages/product_main_images/small/06708.jpg")</f>
        <v>0.0</v>
      </c>
      <c r="F1705" s="2" t="inlineStr">
        <is>
          <t>5998312757444</t>
        </is>
      </c>
      <c r="G1705" s="4" t="inlineStr">
        <is>
          <t xml:space="preserve"> • výkon: 100 W 
 • regulovateľná teplota: nie 
 • zabudované osvetlenie: áno 
 • kompatibilita: hrot k spájkovačke: SG 109T 
 • napájanie: 230 V~  / 50 Hz</t>
        </is>
      </c>
    </row>
    <row r="1706">
      <c r="A1706" s="3" t="inlineStr">
        <is>
          <t>SG 109T</t>
        </is>
      </c>
      <c r="B1706" s="2" t="inlineStr">
        <is>
          <t>Náhradný hrot k SG 109 spájkovačke</t>
        </is>
      </c>
      <c r="C1706" s="1" t="n">
        <v>1.89</v>
      </c>
      <c r="D1706" s="7" t="n">
        <f>HYPERLINK("https://www.somogyi.sk/product/nahradny-hrot-k-sg-109-spajkovacke-sg-109t-6823","https://www.somogyi.sk/product/nahradny-hrot-k-sg-109-spajkovacke-sg-109t-6823")</f>
        <v>0.0</v>
      </c>
      <c r="E1706" s="7" t="n">
        <f>HYPERLINK("https://www.somogyi.sk/productimages/product_main_images/small/06823.jpg","https://www.somogyi.sk/productimages/product_main_images/small/06823.jpg")</f>
        <v>0.0</v>
      </c>
      <c r="F1706" s="2" t="inlineStr">
        <is>
          <t>5998312758410</t>
        </is>
      </c>
      <c r="G1706" s="4" t="inlineStr">
        <is>
          <t xml:space="preserve"> • kompatibilita: k spájkovacej pištoli SG 109</t>
        </is>
      </c>
    </row>
    <row r="1707">
      <c r="A1707" s="3" t="inlineStr">
        <is>
          <t>PP 75</t>
        </is>
      </c>
      <c r="B1707" s="2" t="inlineStr">
        <is>
          <t>Spájkovacia pištoľ 75W 230V</t>
        </is>
      </c>
      <c r="C1707" s="1" t="n">
        <v>59.99</v>
      </c>
      <c r="D1707" s="7" t="n">
        <f>HYPERLINK("https://www.somogyi.sk/product/spajkovacia-pistol-75w-230v-pp-75-16212","https://www.somogyi.sk/product/spajkovacia-pistol-75w-230v-pp-75-16212")</f>
        <v>0.0</v>
      </c>
      <c r="E1707" s="7" t="n">
        <f>HYPERLINK("https://www.somogyi.sk/productimages/product_main_images/small/16212.jpg","https://www.somogyi.sk/productimages/product_main_images/small/16212.jpg")</f>
        <v>0.0</v>
      </c>
      <c r="F1707" s="2" t="inlineStr">
        <is>
          <t>5999084942441</t>
        </is>
      </c>
      <c r="G1707" s="4" t="inlineStr">
        <is>
          <t xml:space="preserve"> • výkon: 75 W 
 • regulovateľná teplota: nie 
 • zabudované osvetlenie: áno 
 • dĺžka kábla: 1,8 m 
 • príslušenstvo: 5 1 spájkovací hrot, 16 g kolofónia, 10 g cín 
 • napájanie: 230 V~ / 50 Hz</t>
        </is>
      </c>
    </row>
    <row r="1708">
      <c r="A1708" s="3" t="inlineStr">
        <is>
          <t>8PK-101-2</t>
        </is>
      </c>
      <c r="B1708" s="2" t="inlineStr">
        <is>
          <t>Plynová spájkovačka</t>
        </is>
      </c>
      <c r="C1708" s="1" t="n">
        <v>26.99</v>
      </c>
      <c r="D1708" s="7" t="n">
        <f>HYPERLINK("https://www.somogyi.sk/product/plynova-spajkovacka-8pk-101-2-4466","https://www.somogyi.sk/product/plynova-spajkovacka-8pk-101-2-4466")</f>
        <v>0.0</v>
      </c>
      <c r="E1708" s="7" t="n">
        <f>HYPERLINK("https://www.somogyi.sk/productimages/product_main_images/small/04466.jpg","https://www.somogyi.sk/productimages/product_main_images/small/04466.jpg")</f>
        <v>0.0</v>
      </c>
      <c r="F1708" s="2" t="inlineStr">
        <is>
          <t>5998312739280</t>
        </is>
      </c>
      <c r="G1708" s="4" t="inlineStr">
        <is>
          <t xml:space="preserve"> • regulovateľná teplota: áno 
 • zabudované osvetlenie: nie 
 • kompatibilita: hrot k spájkovačke: 5PK-101-2T 
 • príslušenstvo: plynová spájkovačka, hrot, hlavica k spájkovačke 
 • napájanie: plyn do zapaľovača (nie je naplnená) 
 • rozmery: 130 mm</t>
        </is>
      </c>
    </row>
    <row r="1709">
      <c r="A1709" s="3" t="inlineStr">
        <is>
          <t>FPH 6</t>
        </is>
      </c>
      <c r="B1709" s="2" t="inlineStr">
        <is>
          <t>Rovný hrot k spájkovačke, 6 mm</t>
        </is>
      </c>
      <c r="C1709" s="1" t="n">
        <v>1.89</v>
      </c>
      <c r="D1709" s="7" t="n">
        <f>HYPERLINK("https://www.somogyi.sk/product/rovny-hrot-k-spajkovacke-6-mm-fph-6-2586","https://www.somogyi.sk/product/rovny-hrot-k-spajkovacke-6-mm-fph-6-2586")</f>
        <v>0.0</v>
      </c>
      <c r="E1709" s="7" t="n">
        <f>HYPERLINK("https://www.somogyi.sk/productimages/product_main_images/small/02586.jpg","https://www.somogyi.sk/productimages/product_main_images/small/02586.jpg")</f>
        <v>0.0</v>
      </c>
      <c r="F1709" s="2" t="inlineStr">
        <is>
          <t>5998312729007</t>
        </is>
      </c>
      <c r="G1709" s="4" t="inlineStr">
        <is>
          <t xml:space="preserve"> • kompatibilita: k spájkovačke FP 60/VDE 
 • rozmery: Ø 6 mm</t>
        </is>
      </c>
    </row>
    <row r="1710">
      <c r="A1710" s="3" t="inlineStr">
        <is>
          <t>FPL 80T</t>
        </is>
      </c>
      <c r="B1710" s="2" t="inlineStr">
        <is>
          <t>Sada spájkovacích hrotov, 5 ks, k FPL 80W</t>
        </is>
      </c>
      <c r="C1710" s="1" t="n">
        <v>5.79</v>
      </c>
      <c r="D1710" s="7" t="n">
        <f>HYPERLINK("https://www.somogyi.sk/product/sada-spajkovacich-hrotov-5-ks-k-fpl-80w-fpl-80t-17944","https://www.somogyi.sk/product/sada-spajkovacich-hrotov-5-ks-k-fpl-80w-fpl-80t-17944")</f>
        <v>0.0</v>
      </c>
      <c r="E1710" s="7" t="n">
        <f>HYPERLINK("https://www.somogyi.sk/productimages/product_main_images/small/17944.jpg","https://www.somogyi.sk/productimages/product_main_images/small/17944.jpg")</f>
        <v>0.0</v>
      </c>
      <c r="F1710" s="2" t="inlineStr">
        <is>
          <t>5999084959661</t>
        </is>
      </c>
      <c r="G1710" s="4" t="inlineStr">
        <is>
          <t xml:space="preserve"> • kompatibilita: FPL 80T 
 • rozmery: 5x ~∅0,6 x 41 mm</t>
        </is>
      </c>
    </row>
    <row r="1711">
      <c r="A1711" s="3" t="inlineStr">
        <is>
          <t>FPL 80W</t>
        </is>
      </c>
      <c r="B1711" s="2" t="inlineStr">
        <is>
          <t>Elektrická spájkovačka, s regulátorom teploty, 80 W</t>
        </is>
      </c>
      <c r="C1711" s="1" t="n">
        <v>28.99</v>
      </c>
      <c r="D1711" s="7" t="n">
        <f>HYPERLINK("https://www.somogyi.sk/product/elektricka-spajkovacka-s-regulatorom-teploty-80-w-fpl-80w-17943","https://www.somogyi.sk/product/elektricka-spajkovacka-s-regulatorom-teploty-80-w-fpl-80w-17943")</f>
        <v>0.0</v>
      </c>
      <c r="E1711" s="7" t="n">
        <f>HYPERLINK("https://www.somogyi.sk/productimages/product_main_images/small/17943.jpg","https://www.somogyi.sk/productimages/product_main_images/small/17943.jpg")</f>
        <v>0.0</v>
      </c>
      <c r="F1711" s="2" t="inlineStr">
        <is>
          <t>5999084959654</t>
        </is>
      </c>
      <c r="G1711" s="4" t="inlineStr">
        <is>
          <t xml:space="preserve"> • výkon: max. 80 W 
 • regulovateľná teplota: 180 - 480 °C 
 • kompatibilita: FPL 80T sada hrotov (opcia) 
 • príslušenstvo: 1   5 ks poniklovaných spájkovacích hrotov 
 • napájanie: 230 V~ / 50 Hz 
 • rozmery: dĺžka: ~23 cm 
 • balenie: 1 ks</t>
        </is>
      </c>
    </row>
    <row r="1712">
      <c r="A1712" s="3" t="inlineStr">
        <is>
          <t>FPH 4</t>
        </is>
      </c>
      <c r="B1712" s="2" t="inlineStr">
        <is>
          <t>Rovný hrot k spájkovačke, 4 mm</t>
        </is>
      </c>
      <c r="C1712" s="1" t="n">
        <v>1.35</v>
      </c>
      <c r="D1712" s="7" t="n">
        <f>HYPERLINK("https://www.somogyi.sk/product/rovny-hrot-k-spajkovacke-4-mm-fph-4-2585","https://www.somogyi.sk/product/rovny-hrot-k-spajkovacke-4-mm-fph-4-2585")</f>
        <v>0.0</v>
      </c>
      <c r="E1712" s="7" t="n">
        <f>HYPERLINK("https://www.somogyi.sk/productimages/product_main_images/small/02585.jpg","https://www.somogyi.sk/productimages/product_main_images/small/02585.jpg")</f>
        <v>0.0</v>
      </c>
      <c r="F1712" s="2" t="inlineStr">
        <is>
          <t>5998312728994</t>
        </is>
      </c>
      <c r="G1712" s="4" t="inlineStr">
        <is>
          <t xml:space="preserve"> • kompatibilita: k spájkovačke FP 30/VDE, FP 1230/VDE 
 • rozmery: Ø 4 mm</t>
        </is>
      </c>
    </row>
    <row r="1713">
      <c r="A1713" s="3" t="inlineStr">
        <is>
          <t>FPH 7</t>
        </is>
      </c>
      <c r="B1713" s="2" t="inlineStr">
        <is>
          <t>Rovný hrot k spájkovačke, 7 mm</t>
        </is>
      </c>
      <c r="C1713" s="1" t="n">
        <v>2.69</v>
      </c>
      <c r="D1713" s="7" t="n">
        <f>HYPERLINK("https://www.somogyi.sk/product/rovny-hrot-k-spajkovacke-7-mm-fph-7-2606","https://www.somogyi.sk/product/rovny-hrot-k-spajkovacke-7-mm-fph-7-2606")</f>
        <v>0.0</v>
      </c>
      <c r="E1713" s="7" t="n">
        <f>HYPERLINK("https://www.somogyi.sk/productimages/product_main_images/small/02606.jpg","https://www.somogyi.sk/productimages/product_main_images/small/02606.jpg")</f>
        <v>0.0</v>
      </c>
      <c r="F1713" s="2" t="inlineStr">
        <is>
          <t>5998312729212</t>
        </is>
      </c>
      <c r="G1713" s="4" t="inlineStr">
        <is>
          <t xml:space="preserve"> • kompatibilita: k spájkovačke FP 80/VDE 
 • rozmery: Ø 7 mm</t>
        </is>
      </c>
    </row>
    <row r="1714">
      <c r="A1714" s="3" t="inlineStr">
        <is>
          <t>PP 2</t>
        </is>
      </c>
      <c r="B1714" s="2" t="inlineStr">
        <is>
          <t>Spájkovacia pištoľ 75 W</t>
        </is>
      </c>
      <c r="C1714" s="1" t="n">
        <v>48.99</v>
      </c>
      <c r="D1714" s="7" t="n">
        <f>HYPERLINK("https://www.somogyi.sk/product/spajkovacia-pistol-75-w-pp-2-2868","https://www.somogyi.sk/product/spajkovacia-pistol-75-w-pp-2-2868")</f>
        <v>0.0</v>
      </c>
      <c r="E1714" s="7" t="n">
        <f>HYPERLINK("https://www.somogyi.sk/productimages/product_main_images/small/02868.jpg","https://www.somogyi.sk/productimages/product_main_images/small/02868.jpg")</f>
        <v>0.0</v>
      </c>
      <c r="F1714" s="2" t="inlineStr">
        <is>
          <t>5998312731925</t>
        </is>
      </c>
      <c r="G1714" s="4" t="inlineStr">
        <is>
          <t xml:space="preserve"> • výkon: 75 W 
 • zabudované osvetlenie: LED 
 • dĺžka kábla: cca. 1,8 m 
 • príslušenstvo: 1   5 ks spájkovacích hrotov 
 • napájanie: 230 V~ / 50 Hz 
 • balenie: 1 ks</t>
        </is>
      </c>
    </row>
    <row r="1715">
      <c r="A1715" s="3" t="inlineStr">
        <is>
          <t>FP 30W</t>
        </is>
      </c>
      <c r="B1715" s="2" t="inlineStr">
        <is>
          <t>Spájkovačka, 30W, 230V</t>
        </is>
      </c>
      <c r="C1715" s="1" t="n">
        <v>10.99</v>
      </c>
      <c r="D1715" s="7" t="n">
        <f>HYPERLINK("https://www.somogyi.sk/product/spajkovacka-30w-230v-fp-30w-3274","https://www.somogyi.sk/product/spajkovacka-30w-230v-fp-30w-3274")</f>
        <v>0.0</v>
      </c>
      <c r="E1715" s="7" t="n">
        <f>HYPERLINK("https://www.somogyi.sk/productimages/product_main_images/small/03274.jpg","https://www.somogyi.sk/productimages/product_main_images/small/03274.jpg")</f>
        <v>0.0</v>
      </c>
      <c r="F1715" s="2" t="inlineStr">
        <is>
          <t>5998312735985</t>
        </is>
      </c>
      <c r="G1715" s="4" t="inlineStr">
        <is>
          <t xml:space="preserve"> • výkon: 30 W 
 • regulovateľná teplota: nie 
 • zabudované osvetlenie: nie 
 • dĺžka kábla: 1,4 m 
 • kompatibilita: hrot k spájkovačke: FPH4 
 • príslušenstvo: podpera 
 • napájanie: 230 V~  / 50 Hz 
 • rozmery: 240 mm</t>
        </is>
      </c>
    </row>
    <row r="1716">
      <c r="A1716" s="3" t="inlineStr">
        <is>
          <t>FP 60W</t>
        </is>
      </c>
      <c r="B1716" s="2" t="inlineStr">
        <is>
          <t>Spájkovačka, 60W, 230V</t>
        </is>
      </c>
      <c r="C1716" s="1" t="n">
        <v>12.49</v>
      </c>
      <c r="D1716" s="7" t="n">
        <f>HYPERLINK("https://www.somogyi.sk/product/spajkovacka-60w-230v-fp-60w-3275","https://www.somogyi.sk/product/spajkovacka-60w-230v-fp-60w-3275")</f>
        <v>0.0</v>
      </c>
      <c r="E1716" s="7" t="n">
        <f>HYPERLINK("https://www.somogyi.sk/productimages/product_main_images/small/03275.jpg","https://www.somogyi.sk/productimages/product_main_images/small/03275.jpg")</f>
        <v>0.0</v>
      </c>
      <c r="F1716" s="2" t="inlineStr">
        <is>
          <t>5998312735992</t>
        </is>
      </c>
      <c r="G1716" s="4" t="inlineStr">
        <is>
          <t xml:space="preserve"> • výkon: 60 W 
 • regulovateľná teplota: nie 
 • zabudované osvetlenie: nie 
 • dĺžka kábla: 1,4 m 
 • kompatibilita: hrot k spájkovačke: FPH6 
 • príslušenstvo: podpera 
 • napájanie: 230 V~  / 50 Hz 
 • rozmery: 270 mm</t>
        </is>
      </c>
    </row>
    <row r="1717">
      <c r="A1717" s="3" t="inlineStr">
        <is>
          <t>FP 80W</t>
        </is>
      </c>
      <c r="B1717" s="2" t="inlineStr">
        <is>
          <t>Spájkovačka, 80 W, 230 V</t>
        </is>
      </c>
      <c r="C1717" s="1" t="n">
        <v>14.49</v>
      </c>
      <c r="D1717" s="7" t="n">
        <f>HYPERLINK("https://www.somogyi.sk/product/spajkovacka-80-w-230-v-fp-80w-3276","https://www.somogyi.sk/product/spajkovacka-80-w-230-v-fp-80w-3276")</f>
        <v>0.0</v>
      </c>
      <c r="E1717" s="7" t="n">
        <f>HYPERLINK("https://www.somogyi.sk/productimages/product_main_images/small/03276.jpg","https://www.somogyi.sk/productimages/product_main_images/small/03276.jpg")</f>
        <v>0.0</v>
      </c>
      <c r="F1717" s="2" t="inlineStr">
        <is>
          <t>5998312736005</t>
        </is>
      </c>
      <c r="G1717" s="4" t="inlineStr">
        <is>
          <t xml:space="preserve"> • výkon: 80 W 
 • regulovateľná teplota: nie 
 • zabudované osvetlenie: nie 
 • dĺžka kábla: 1,4 m 
 • kompatibilita: hrot k spájkovačke: FPH7 
 • príslušenstvo: podpera 
 • napájanie: 230 V~  / 50 Hz 
 • rozmery: 270 mm</t>
        </is>
      </c>
    </row>
    <row r="1718">
      <c r="A1718" s="6" t="inlineStr">
        <is>
          <t xml:space="preserve">   Meranie, nástroje, spájkovanie / Odsávač cínu</t>
        </is>
      </c>
      <c r="B1718" s="6" t="inlineStr">
        <is>
          <t/>
        </is>
      </c>
      <c r="C1718" s="6" t="inlineStr">
        <is>
          <t/>
        </is>
      </c>
      <c r="D1718" s="6" t="inlineStr">
        <is>
          <t/>
        </is>
      </c>
      <c r="E1718" s="6" t="inlineStr">
        <is>
          <t/>
        </is>
      </c>
      <c r="F1718" s="6" t="inlineStr">
        <is>
          <t/>
        </is>
      </c>
      <c r="G1718" s="6" t="inlineStr">
        <is>
          <t/>
        </is>
      </c>
    </row>
    <row r="1719">
      <c r="A1719" s="3" t="inlineStr">
        <is>
          <t>8PK-366N-G</t>
        </is>
      </c>
      <c r="B1719" s="2" t="inlineStr">
        <is>
          <t>Odsávač cínu</t>
        </is>
      </c>
      <c r="C1719" s="1" t="n">
        <v>6.69</v>
      </c>
      <c r="D1719" s="7" t="n">
        <f>HYPERLINK("https://www.somogyi.sk/product/odsavac-cinu-8pk-366n-g-4467","https://www.somogyi.sk/product/odsavac-cinu-8pk-366n-g-4467")</f>
        <v>0.0</v>
      </c>
      <c r="E1719" s="7" t="n">
        <f>HYPERLINK("https://www.somogyi.sk/productimages/product_main_images/small/04467.jpg","https://www.somogyi.sk/productimages/product_main_images/small/04467.jpg")</f>
        <v>0.0</v>
      </c>
      <c r="F1719" s="2" t="inlineStr">
        <is>
          <t>5998312739297</t>
        </is>
      </c>
      <c r="G1719" s="4" t="inlineStr">
        <is>
          <t xml:space="preserve"> • materiál: plast, špica z teflónu 
 • kompatibilita: 5PK-366N-T náhradná špica 
 • rozmery: Ø 26 x 205 mm</t>
        </is>
      </c>
    </row>
    <row r="1720">
      <c r="A1720" s="3" t="inlineStr">
        <is>
          <t>5PK-366N-T</t>
        </is>
      </c>
      <c r="B1720" s="2" t="inlineStr">
        <is>
          <t>Náhradná špica k odsávačke cínu</t>
        </is>
      </c>
      <c r="C1720" s="1" t="n">
        <v>2.69</v>
      </c>
      <c r="D1720" s="7" t="n">
        <f>HYPERLINK("https://www.somogyi.sk/product/nahradna-spica-k-odsavacke-cinu-5pk-366n-t-4758","https://www.somogyi.sk/product/nahradna-spica-k-odsavacke-cinu-5pk-366n-t-4758")</f>
        <v>0.0</v>
      </c>
      <c r="E1720" s="7" t="n">
        <f>HYPERLINK("https://www.somogyi.sk/productimages/product_main_images/small/04758.jpg","https://www.somogyi.sk/productimages/product_main_images/small/04758.jpg")</f>
        <v>0.0</v>
      </c>
      <c r="F1720" s="2" t="inlineStr">
        <is>
          <t>5998312742013</t>
        </is>
      </c>
      <c r="G1720" s="4" t="inlineStr">
        <is>
          <t xml:space="preserve"> • materiál: teflón 
 • kompatibilita: 8PK-366N-G odsávač cínu 
 • rozmery: -</t>
        </is>
      </c>
    </row>
    <row r="1721">
      <c r="A1721" s="6" t="inlineStr">
        <is>
          <t xml:space="preserve">   Meranie, nástroje, spájkovanie / Cín, pomocný materiál</t>
        </is>
      </c>
      <c r="B1721" s="6" t="inlineStr">
        <is>
          <t/>
        </is>
      </c>
      <c r="C1721" s="6" t="inlineStr">
        <is>
          <t/>
        </is>
      </c>
      <c r="D1721" s="6" t="inlineStr">
        <is>
          <t/>
        </is>
      </c>
      <c r="E1721" s="6" t="inlineStr">
        <is>
          <t/>
        </is>
      </c>
      <c r="F1721" s="6" t="inlineStr">
        <is>
          <t/>
        </is>
      </c>
      <c r="G1721" s="6" t="inlineStr">
        <is>
          <t/>
        </is>
      </c>
    </row>
    <row r="1722">
      <c r="A1722" s="3" t="inlineStr">
        <is>
          <t>SW 2/500</t>
        </is>
      </c>
      <c r="B1722" s="2" t="inlineStr">
        <is>
          <t>Cín s kolofóniou 2/500g</t>
        </is>
      </c>
      <c r="C1722" s="1" t="n">
        <v>38.99</v>
      </c>
      <c r="D1722" s="7" t="n">
        <f>HYPERLINK("https://www.somogyi.sk/product/cin-s-kolofoniou-2-500g-sw-2-500-7514","https://www.somogyi.sk/product/cin-s-kolofoniou-2-500g-sw-2-500-7514")</f>
        <v>0.0</v>
      </c>
      <c r="E1722" s="7" t="n">
        <f>HYPERLINK("https://www.somogyi.sk/productimages/product_main_images/small/07514.jpg","https://www.somogyi.sk/productimages/product_main_images/small/07514.jpg")</f>
        <v>0.0</v>
      </c>
      <c r="F1722" s="2" t="inlineStr">
        <is>
          <t>5998312764985</t>
        </is>
      </c>
      <c r="G1722" s="4" t="inlineStr">
        <is>
          <t xml:space="preserve"> • zloženie: SN60/PB40/2, 0% kalafúna 
 • priemer cínu: Ø 2,0 mm 
 • vyhotovenie: 500 g 
 • ďalšie informácie: Len na odborné použitie.</t>
        </is>
      </c>
    </row>
    <row r="1723">
      <c r="A1723" s="3" t="inlineStr">
        <is>
          <t>SW 1,5/500</t>
        </is>
      </c>
      <c r="B1723" s="2" t="inlineStr">
        <is>
          <t>Cín s kolofóniou, O1,5 mm, 500</t>
        </is>
      </c>
      <c r="C1723" s="1" t="n">
        <v>38.99</v>
      </c>
      <c r="D1723" s="7" t="n">
        <f>HYPERLINK("https://www.somogyi.sk/product/cin-s-kolofoniou-o1-5-mm-500-sw-1-5-500-4430","https://www.somogyi.sk/product/cin-s-kolofoniou-o1-5-mm-500-sw-1-5-500-4430")</f>
        <v>0.0</v>
      </c>
      <c r="E1723" s="7" t="n">
        <f>HYPERLINK("https://www.somogyi.sk/productimages/product_main_images/small/04430.jpg","https://www.somogyi.sk/productimages/product_main_images/small/04430.jpg")</f>
        <v>0.0</v>
      </c>
      <c r="F1723" s="2" t="inlineStr">
        <is>
          <t>5998312738924</t>
        </is>
      </c>
      <c r="G1723" s="4" t="inlineStr">
        <is>
          <t xml:space="preserve"> • zloženie: SN60/PB40/2, 0% kalafúna 
 • priemer cínu: Ø 1,5 mm 
 • vyhotovenie: 500 g 
 • ďalšie informácie: Len na odborné použitie.</t>
        </is>
      </c>
    </row>
    <row r="1724">
      <c r="A1724" s="3" t="inlineStr">
        <is>
          <t>SW 1,5/250</t>
        </is>
      </c>
      <c r="B1724" s="2" t="inlineStr">
        <is>
          <t>Cín s kolofóniou, O1,5 mm, 250</t>
        </is>
      </c>
      <c r="C1724" s="1" t="n">
        <v>19.99</v>
      </c>
      <c r="D1724" s="7" t="n">
        <f>HYPERLINK("https://www.somogyi.sk/product/cin-s-kolofoniou-o1-5-mm-250-sw-1-5-250-4429","https://www.somogyi.sk/product/cin-s-kolofoniou-o1-5-mm-250-sw-1-5-250-4429")</f>
        <v>0.0</v>
      </c>
      <c r="E1724" s="7" t="n">
        <f>HYPERLINK("https://www.somogyi.sk/productimages/product_main_images/small/04429.jpg","https://www.somogyi.sk/productimages/product_main_images/small/04429.jpg")</f>
        <v>0.0</v>
      </c>
      <c r="F1724" s="2" t="inlineStr">
        <is>
          <t>5998312738917</t>
        </is>
      </c>
      <c r="G1724" s="4" t="inlineStr">
        <is>
          <t xml:space="preserve"> • zloženie: SN60/PB40/2, 0% kalafúna 
 • priemer cínu: Ø 1,5 mm 
 • vyhotovenie: 250 g 
 • ďalšie informácie: Len na odborné použitie.</t>
        </is>
      </c>
    </row>
    <row r="1725">
      <c r="A1725" s="3" t="inlineStr">
        <is>
          <t>SW 1/250</t>
        </is>
      </c>
      <c r="B1725" s="2" t="inlineStr">
        <is>
          <t>Cín s kolofóniou, O1,0 mm, 250</t>
        </is>
      </c>
      <c r="C1725" s="1" t="n">
        <v>19.99</v>
      </c>
      <c r="D1725" s="7" t="n">
        <f>HYPERLINK("https://www.somogyi.sk/product/cin-s-kolofoniou-o1-0-mm-250-sw-1-250-4427","https://www.somogyi.sk/product/cin-s-kolofoniou-o1-0-mm-250-sw-1-250-4427")</f>
        <v>0.0</v>
      </c>
      <c r="E1725" s="7" t="n">
        <f>HYPERLINK("https://www.somogyi.sk/productimages/product_main_images/small/04427.jpg","https://www.somogyi.sk/productimages/product_main_images/small/04427.jpg")</f>
        <v>0.0</v>
      </c>
      <c r="F1725" s="2" t="inlineStr">
        <is>
          <t>5998312738894</t>
        </is>
      </c>
      <c r="G1725" s="4" t="inlineStr">
        <is>
          <t xml:space="preserve"> • zloženie: SN60/PB40/2, 0% kalafúna 
 • priemer cínu: Ø 1,0 mm 
 • vyhotovenie: 250 g 
 • ďalšie informácie: Len na odborné použitie.</t>
        </is>
      </c>
    </row>
    <row r="1726">
      <c r="A1726" s="3" t="inlineStr">
        <is>
          <t>SW 1/100</t>
        </is>
      </c>
      <c r="B1726" s="2" t="inlineStr">
        <is>
          <t>Cín s kolofóniou, O1,0 mm, 100</t>
        </is>
      </c>
      <c r="C1726" s="1" t="n">
        <v>8.39</v>
      </c>
      <c r="D1726" s="7" t="n">
        <f>HYPERLINK("https://www.somogyi.sk/product/cin-s-kolofoniou-o1-0-mm-100-sw-1-100-4425","https://www.somogyi.sk/product/cin-s-kolofoniou-o1-0-mm-100-sw-1-100-4425")</f>
        <v>0.0</v>
      </c>
      <c r="E1726" s="7" t="n">
        <f>HYPERLINK("https://www.somogyi.sk/productimages/product_main_images/small/04425.jpg","https://www.somogyi.sk/productimages/product_main_images/small/04425.jpg")</f>
        <v>0.0</v>
      </c>
      <c r="F1726" s="2" t="inlineStr">
        <is>
          <t>5998312738870</t>
        </is>
      </c>
      <c r="G1726" s="4" t="inlineStr">
        <is>
          <t xml:space="preserve"> • zloženie: SN60/PB40/2, 0% kalafúna 
 • priemer cínu: Ø 1,0 mm 
 • vyhotovenie: 100 g 
 • ďalšie informácie: Len na odborné použitie.</t>
        </is>
      </c>
    </row>
    <row r="1727">
      <c r="A1727" s="3" t="inlineStr">
        <is>
          <t>SW 2/100</t>
        </is>
      </c>
      <c r="B1727" s="2" t="inlineStr">
        <is>
          <t>Cín s kolofóniou 2/100g</t>
        </is>
      </c>
      <c r="C1727" s="1" t="n">
        <v>8.39</v>
      </c>
      <c r="D1727" s="7" t="n">
        <f>HYPERLINK("https://www.somogyi.sk/product/cin-s-kolofoniou-2-100g-sw-2-100-7512","https://www.somogyi.sk/product/cin-s-kolofoniou-2-100g-sw-2-100-7512")</f>
        <v>0.0</v>
      </c>
      <c r="E1727" s="7" t="n">
        <f>HYPERLINK("https://www.somogyi.sk/productimages/product_main_images/small/07512.jpg","https://www.somogyi.sk/productimages/product_main_images/small/07512.jpg")</f>
        <v>0.0</v>
      </c>
      <c r="F1727" s="2" t="inlineStr">
        <is>
          <t>5998312764961</t>
        </is>
      </c>
      <c r="G1727" s="4" t="inlineStr">
        <is>
          <t xml:space="preserve"> • zloženie: SN60/PB40/2, 0% kalafúna 
 • priemer cínu: Ø 2,0 mm 
 • vyhotovenie: 100 g 
 • ďalšie informácie: Len na odborné použitie.</t>
        </is>
      </c>
    </row>
    <row r="1728">
      <c r="A1728" s="3" t="inlineStr">
        <is>
          <t>SW 2/250</t>
        </is>
      </c>
      <c r="B1728" s="2" t="inlineStr">
        <is>
          <t>Cín s kolofóniou 2/250g</t>
        </is>
      </c>
      <c r="C1728" s="1" t="n">
        <v>19.99</v>
      </c>
      <c r="D1728" s="7" t="n">
        <f>HYPERLINK("https://www.somogyi.sk/product/cin-s-kolofoniou-2-250g-sw-2-250-7513","https://www.somogyi.sk/product/cin-s-kolofoniou-2-250g-sw-2-250-7513")</f>
        <v>0.0</v>
      </c>
      <c r="E1728" s="7" t="n">
        <f>HYPERLINK("https://www.somogyi.sk/productimages/product_main_images/small/07513.jpg","https://www.somogyi.sk/productimages/product_main_images/small/07513.jpg")</f>
        <v>0.0</v>
      </c>
      <c r="F1728" s="2" t="inlineStr">
        <is>
          <t>5998312764978</t>
        </is>
      </c>
      <c r="G1728" s="4" t="inlineStr">
        <is>
          <t xml:space="preserve"> • zloženie: SN60/PB40/2, 0% kalafúna 
 • priemer cínu: Ø 2,0 mm 
 • vyhotovenie: 250 g 
 • ďalšie informácie: Len na odborné použitie.</t>
        </is>
      </c>
    </row>
    <row r="1729">
      <c r="A1729" s="3" t="inlineStr">
        <is>
          <t>SW 3/250</t>
        </is>
      </c>
      <c r="B1729" s="2" t="inlineStr">
        <is>
          <t>Cín s kolofóniou 3/250g</t>
        </is>
      </c>
      <c r="C1729" s="1" t="n">
        <v>19.99</v>
      </c>
      <c r="D1729" s="7" t="n">
        <f>HYPERLINK("https://www.somogyi.sk/product/cin-s-kolofoniou-3-250g-sw-3-250-7721","https://www.somogyi.sk/product/cin-s-kolofoniou-3-250g-sw-3-250-7721")</f>
        <v>0.0</v>
      </c>
      <c r="E1729" s="7" t="n">
        <f>HYPERLINK("https://www.somogyi.sk/productimages/product_main_images/small/07721.jpg","https://www.somogyi.sk/productimages/product_main_images/small/07721.jpg")</f>
        <v>0.0</v>
      </c>
      <c r="F1729" s="2" t="inlineStr">
        <is>
          <t>5998312766835</t>
        </is>
      </c>
      <c r="G1729" s="4" t="inlineStr">
        <is>
          <t xml:space="preserve"> • zloženie: SN60/PB40/2, 0% kalafúna 
 • priemer cínu: Ø 3,0 mm 
 • vyhotovenie: 250 g 
 • ďalšie informácie: Len na odborné použitie.</t>
        </is>
      </c>
    </row>
    <row r="1730">
      <c r="A1730" s="3" t="inlineStr">
        <is>
          <t>SW 0,8/250</t>
        </is>
      </c>
      <c r="B1730" s="2" t="inlineStr">
        <is>
          <t>Cín s kolofóniou, O0,8 mm, 250</t>
        </is>
      </c>
      <c r="C1730" s="1" t="n">
        <v>19.99</v>
      </c>
      <c r="D1730" s="7" t="n">
        <f>HYPERLINK("https://www.somogyi.sk/product/cin-s-kolofoniou-o0-8-mm-250-sw-0-8-250-4422","https://www.somogyi.sk/product/cin-s-kolofoniou-o0-8-mm-250-sw-0-8-250-4422")</f>
        <v>0.0</v>
      </c>
      <c r="E1730" s="7" t="n">
        <f>HYPERLINK("https://www.somogyi.sk/productimages/product_main_images/small/04422.jpg","https://www.somogyi.sk/productimages/product_main_images/small/04422.jpg")</f>
        <v>0.0</v>
      </c>
      <c r="F1730" s="2" t="inlineStr">
        <is>
          <t>5998312738849</t>
        </is>
      </c>
      <c r="G1730" s="4" t="inlineStr">
        <is>
          <t xml:space="preserve"> • zloženie: SN60/PB40/2, 0% kalafúna 
 • priemer cínu: Ø 0,8 mm 
 • vyhotovenie: 250 g 
 • ďalšie informácie: Len na odborné použitie.</t>
        </is>
      </c>
    </row>
    <row r="1731">
      <c r="A1731" s="3" t="inlineStr">
        <is>
          <t>SW 0,8/100</t>
        </is>
      </c>
      <c r="B1731" s="2" t="inlineStr">
        <is>
          <t>Cín s kolofóniou, O0,8 mm, 100</t>
        </is>
      </c>
      <c r="C1731" s="1" t="n">
        <v>8.59</v>
      </c>
      <c r="D1731" s="7" t="n">
        <f>HYPERLINK("https://www.somogyi.sk/product/cin-s-kolofoniou-o0-8-mm-100-sw-0-8-100-4421","https://www.somogyi.sk/product/cin-s-kolofoniou-o0-8-mm-100-sw-0-8-100-4421")</f>
        <v>0.0</v>
      </c>
      <c r="E1731" s="7" t="n">
        <f>HYPERLINK("https://www.somogyi.sk/productimages/product_main_images/small/04421.jpg","https://www.somogyi.sk/productimages/product_main_images/small/04421.jpg")</f>
        <v>0.0</v>
      </c>
      <c r="F1731" s="2" t="inlineStr">
        <is>
          <t>5998312738832</t>
        </is>
      </c>
      <c r="G1731" s="4" t="inlineStr">
        <is>
          <t xml:space="preserve"> • zloženie: SN60/PB40/2, 0% kalafúna 
 • priemer cínu: Ø 0,8 mm 
 • vyhotovenie: 100 g 
 • ďalšie informácie: Len na odborné použitie.</t>
        </is>
      </c>
    </row>
    <row r="1732">
      <c r="A1732" s="3" t="inlineStr">
        <is>
          <t>SW 1/500</t>
        </is>
      </c>
      <c r="B1732" s="2" t="inlineStr">
        <is>
          <t>Cín s kolofóniou, O1,0 mm, 500</t>
        </is>
      </c>
      <c r="C1732" s="1" t="n">
        <v>38.99</v>
      </c>
      <c r="D1732" s="7" t="n">
        <f>HYPERLINK("https://www.somogyi.sk/product/cin-s-kolofoniou-o1-0-mm-500-sw-1-500-4426","https://www.somogyi.sk/product/cin-s-kolofoniou-o1-0-mm-500-sw-1-500-4426")</f>
        <v>0.0</v>
      </c>
      <c r="E1732" s="7" t="n">
        <f>HYPERLINK("https://www.somogyi.sk/productimages/product_main_images/small/04426.jpg","https://www.somogyi.sk/productimages/product_main_images/small/04426.jpg")</f>
        <v>0.0</v>
      </c>
      <c r="F1732" s="2" t="inlineStr">
        <is>
          <t>5998312738887</t>
        </is>
      </c>
      <c r="G1732" s="4" t="inlineStr">
        <is>
          <t xml:space="preserve"> • zloženie: SN60/PB40/2, 0% kalafúna 
 • priemer cínu: Ø 1,0 mm 
 • vyhotovenie: 500 g 
 • ďalšie informácie: Len na odborné použitie.</t>
        </is>
      </c>
    </row>
    <row r="1733">
      <c r="A1733" s="3" t="inlineStr">
        <is>
          <t>SW 0,5/250</t>
        </is>
      </c>
      <c r="B1733" s="2" t="inlineStr">
        <is>
          <t>Cín s kolofóniou, O0,5 mm, 250</t>
        </is>
      </c>
      <c r="C1733" s="1" t="n">
        <v>38.99</v>
      </c>
      <c r="D1733" s="7" t="n">
        <f>HYPERLINK("https://www.somogyi.sk/product/cin-s-kolofoniou-o0-5-mm-250-sw-0-5-250-4431","https://www.somogyi.sk/product/cin-s-kolofoniou-o0-5-mm-250-sw-0-5-250-4431")</f>
        <v>0.0</v>
      </c>
      <c r="E1733" s="7" t="n">
        <f>HYPERLINK("https://www.somogyi.sk/productimages/product_main_images/small/04431.jpg","https://www.somogyi.sk/productimages/product_main_images/small/04431.jpg")</f>
        <v>0.0</v>
      </c>
      <c r="F1733" s="2" t="inlineStr">
        <is>
          <t>5998312738931</t>
        </is>
      </c>
      <c r="G1733" s="4" t="inlineStr">
        <is>
          <t xml:space="preserve"> • zloženie: SN60/PB40/2, 0% kalafúna 
 • priemer cínu: Ø 0,5 mm 
 • vyhotovenie: 250 g 
 • ďalšie informácie: Len na odborné použitie.</t>
        </is>
      </c>
    </row>
    <row r="1734">
      <c r="A1734" s="3" t="inlineStr">
        <is>
          <t>SWCU 1/17</t>
        </is>
      </c>
      <c r="B1734" s="2" t="inlineStr">
        <is>
          <t>Podávač cínu, 1mm, 17g</t>
        </is>
      </c>
      <c r="C1734" s="1" t="n">
        <v>3.69</v>
      </c>
      <c r="D1734" s="7" t="n">
        <f>HYPERLINK("https://www.somogyi.sk/product/podavac-cinu-1mm-17g-swcu-1-17-6955","https://www.somogyi.sk/product/podavac-cinu-1mm-17g-swcu-1-17-6955")</f>
        <v>0.0</v>
      </c>
      <c r="E1734" s="7" t="n">
        <f>HYPERLINK("https://www.somogyi.sk/productimages/product_main_images/small/06955.jpg","https://www.somogyi.sk/productimages/product_main_images/small/06955.jpg")</f>
        <v>0.0</v>
      </c>
      <c r="F1734" s="2" t="inlineStr">
        <is>
          <t>5998312759684</t>
        </is>
      </c>
      <c r="G1734" s="4" t="inlineStr">
        <is>
          <t xml:space="preserve"> • zloženie: SW 99,5/CU 0,5%/2,2% kalafúna 
 • priemer cínu: Ø 1 mm 
 • vyhotovenie: 17 g 
 • rozmery: Ø 17 x 91 mm</t>
        </is>
      </c>
    </row>
    <row r="1735">
      <c r="A1735" s="3" t="inlineStr">
        <is>
          <t>SW 0,8/500</t>
        </is>
      </c>
      <c r="B1735" s="2" t="inlineStr">
        <is>
          <t>Cín s kolofóniou, O0,8 mm, 500</t>
        </is>
      </c>
      <c r="C1735" s="1" t="n">
        <v>39.99</v>
      </c>
      <c r="D1735" s="7" t="n">
        <f>HYPERLINK("https://www.somogyi.sk/product/cin-s-kolofoniou-o0-8-mm-500-sw-0-8-500-4423","https://www.somogyi.sk/product/cin-s-kolofoniou-o0-8-mm-500-sw-0-8-500-4423")</f>
        <v>0.0</v>
      </c>
      <c r="E1735" s="7" t="n">
        <f>HYPERLINK("https://www.somogyi.sk/productimages/product_main_images/small/04423.jpg","https://www.somogyi.sk/productimages/product_main_images/small/04423.jpg")</f>
        <v>0.0</v>
      </c>
      <c r="F1735" s="2" t="inlineStr">
        <is>
          <t>5998312738856</t>
        </is>
      </c>
      <c r="G1735" s="4" t="inlineStr">
        <is>
          <t xml:space="preserve"> • zloženie: SN60/PB40/2, 0% kalafúna 
 • priemer cínu: Ø 0,8 mm 
 • vyhotovenie: 500 g 
 • ďalšie informácie: Len na odborné použitie.</t>
        </is>
      </c>
    </row>
    <row r="1736">
      <c r="A1736" s="3" t="inlineStr">
        <is>
          <t>SWCU 1/100</t>
        </is>
      </c>
      <c r="B1736" s="2" t="inlineStr">
        <is>
          <t>1/100g podávač cínu, bez olova</t>
        </is>
      </c>
      <c r="C1736" s="1" t="n">
        <v>12.49</v>
      </c>
      <c r="D1736" s="7" t="n">
        <f>HYPERLINK("https://www.somogyi.sk/product/1-100g-podavac-cinu-bez-olova-swcu-1-100-17371","https://www.somogyi.sk/product/1-100g-podavac-cinu-bez-olova-swcu-1-100-17371")</f>
        <v>0.0</v>
      </c>
      <c r="E1736" s="7" t="n">
        <f>HYPERLINK("https://www.somogyi.sk/productimages/product_main_images/small/17371.jpg","https://www.somogyi.sk/productimages/product_main_images/small/17371.jpg")</f>
        <v>0.0</v>
      </c>
      <c r="F1736" s="2" t="inlineStr">
        <is>
          <t>5999084953935</t>
        </is>
      </c>
      <c r="G1736" s="4" t="inlineStr">
        <is>
          <t xml:space="preserve"> • zloženie: Sn/Cu: 99,3%/0,7% 
 • priemer cínu: Ø 1,0 mm 
 • vyhotovenie: 100 g</t>
        </is>
      </c>
    </row>
    <row r="1737">
      <c r="A1737" s="6" t="inlineStr">
        <is>
          <t xml:space="preserve">   Meranie, nástroje, spájkovanie / Lepiaca pištoľ, lepiaca tyčinka</t>
        </is>
      </c>
      <c r="B1737" s="6" t="inlineStr">
        <is>
          <t/>
        </is>
      </c>
      <c r="C1737" s="6" t="inlineStr">
        <is>
          <t/>
        </is>
      </c>
      <c r="D1737" s="6" t="inlineStr">
        <is>
          <t/>
        </is>
      </c>
      <c r="E1737" s="6" t="inlineStr">
        <is>
          <t/>
        </is>
      </c>
      <c r="F1737" s="6" t="inlineStr">
        <is>
          <t/>
        </is>
      </c>
      <c r="G1737" s="6" t="inlineStr">
        <is>
          <t/>
        </is>
      </c>
    </row>
    <row r="1738">
      <c r="A1738" s="3" t="inlineStr">
        <is>
          <t>SMA 067T</t>
        </is>
      </c>
      <c r="B1738" s="2" t="inlineStr">
        <is>
          <t>Lepiaca tyčinka, 11x100mm, 10 ks/balenie</t>
        </is>
      </c>
      <c r="C1738" s="1" t="n">
        <v>2.89</v>
      </c>
      <c r="D1738" s="7" t="n">
        <f>HYPERLINK("https://www.somogyi.sk/product/lepiaca-tycinka-11x100mm-10-ks-balenie-sma-067t-6707","https://www.somogyi.sk/product/lepiaca-tycinka-11x100mm-10-ks-balenie-sma-067t-6707")</f>
        <v>0.0</v>
      </c>
      <c r="E1738" s="7" t="n">
        <f>HYPERLINK("https://www.somogyi.sk/productimages/product_main_images/small/06707.jpg","https://www.somogyi.sk/productimages/product_main_images/small/06707.jpg")</f>
        <v>0.0</v>
      </c>
      <c r="F1738" s="2" t="inlineStr">
        <is>
          <t>5998312757437</t>
        </is>
      </c>
      <c r="G1738" s="4" t="inlineStr">
        <is>
          <t xml:space="preserve"> • kompatibilita: k lepiacej pištoli GK-380B / SMA 008 / SMA 007 / SMA 006 
 • rozmer lepiacej tyčinky: Ø 11 mm x 100 mm</t>
        </is>
      </c>
    </row>
    <row r="1739">
      <c r="A1739" s="3" t="inlineStr">
        <is>
          <t>SMA 005T</t>
        </is>
      </c>
      <c r="B1739" s="2" t="inlineStr">
        <is>
          <t>Lepiaca tyčinka, 7x100mm, 20 ks/balenie</t>
        </is>
      </c>
      <c r="C1739" s="1" t="n">
        <v>3.09</v>
      </c>
      <c r="D1739" s="7" t="n">
        <f>HYPERLINK("https://www.somogyi.sk/product/lepiaca-tycinka-7x100mm-20-ks-balenie-sma-005t-6706","https://www.somogyi.sk/product/lepiaca-tycinka-7x100mm-20-ks-balenie-sma-005t-6706")</f>
        <v>0.0</v>
      </c>
      <c r="E1739" s="7" t="n">
        <f>HYPERLINK("https://www.somogyi.sk/productimages/product_main_images/small/06706.jpg","https://www.somogyi.sk/productimages/product_main_images/small/06706.jpg")</f>
        <v>0.0</v>
      </c>
      <c r="F1739" s="2" t="inlineStr">
        <is>
          <t>5998312757420</t>
        </is>
      </c>
      <c r="G1739" s="4" t="inlineStr">
        <is>
          <t xml:space="preserve"> • kompatibilita: k lepiacej pištoli SMA 009 / SMA 005 
 • rozmer lepiacej tyčinky: Ø 7 mm x 100 mm</t>
        </is>
      </c>
    </row>
    <row r="1740">
      <c r="A1740" s="3" t="inlineStr">
        <is>
          <t>SMA 007</t>
        </is>
      </c>
      <c r="B1740" s="2" t="inlineStr">
        <is>
          <t>Lepiaca pištoľ, 100 W</t>
        </is>
      </c>
      <c r="C1740" s="1" t="n">
        <v>8.99</v>
      </c>
      <c r="D1740" s="7" t="n">
        <f>HYPERLINK("https://www.somogyi.sk/product/lepiaca-pistol-100-w-sma-007-6705","https://www.somogyi.sk/product/lepiaca-pistol-100-w-sma-007-6705")</f>
        <v>0.0</v>
      </c>
      <c r="E1740" s="7" t="n">
        <f>HYPERLINK("https://www.somogyi.sk/productimages/product_main_images/small/06705.jpg","https://www.somogyi.sk/productimages/product_main_images/small/06705.jpg")</f>
        <v>0.0</v>
      </c>
      <c r="F1740" s="2" t="inlineStr">
        <is>
          <t>5998312757413</t>
        </is>
      </c>
      <c r="G1740" s="4" t="inlineStr">
        <is>
          <t xml:space="preserve"> • výkon: 25 (100) W 
 • vypínač: nie 
 • kontrolka ohrevu: nie 
 • vyklápateľná podpera: áno 
 • kompatibilita: SMA 067T lepiaca tyčinka 
 • príslušenstvo: 2 ks lepiacich tyčiniek 
 • napájanie: 230 V~  / 50 Hz</t>
        </is>
      </c>
    </row>
    <row r="1741">
      <c r="A1741" s="3" t="inlineStr">
        <is>
          <t>SMA 005</t>
        </is>
      </c>
      <c r="B1741" s="2" t="inlineStr">
        <is>
          <t>Lepiaca pištoľ, 30 W</t>
        </is>
      </c>
      <c r="C1741" s="1" t="n">
        <v>4.89</v>
      </c>
      <c r="D1741" s="7" t="n">
        <f>HYPERLINK("https://www.somogyi.sk/product/lepiaca-pistol-30-w-sma-005-6703","https://www.somogyi.sk/product/lepiaca-pistol-30-w-sma-005-6703")</f>
        <v>0.0</v>
      </c>
      <c r="E1741" s="7" t="n">
        <f>HYPERLINK("https://www.somogyi.sk/productimages/product_main_images/small/06703.jpg","https://www.somogyi.sk/productimages/product_main_images/small/06703.jpg")</f>
        <v>0.0</v>
      </c>
      <c r="F1741" s="2" t="inlineStr">
        <is>
          <t>5998312757390</t>
        </is>
      </c>
      <c r="G1741" s="4" t="inlineStr">
        <is>
          <t xml:space="preserve"> • výkon: 10 (30) W 
 • vypínač: nie 
 • kontrolka ohrevu: nie 
 • vyklápateľná podpera: áno 
 • dĺžka kábla: 1,2 m 
 • kompatibilita: SMA 005T lepiaca tyčinka 
 • príslušenstvo: 2 ks lepiacich tyčiniek 
 • napájanie: 230 V~  / 50 Hz</t>
        </is>
      </c>
    </row>
    <row r="1742">
      <c r="A1742" s="6" t="inlineStr">
        <is>
          <t xml:space="preserve">   Meranie, nástroje, spájkovanie / Univerzálny odlamovací nôž</t>
        </is>
      </c>
      <c r="B1742" s="6" t="inlineStr">
        <is>
          <t/>
        </is>
      </c>
      <c r="C1742" s="6" t="inlineStr">
        <is>
          <t/>
        </is>
      </c>
      <c r="D1742" s="6" t="inlineStr">
        <is>
          <t/>
        </is>
      </c>
      <c r="E1742" s="6" t="inlineStr">
        <is>
          <t/>
        </is>
      </c>
      <c r="F1742" s="6" t="inlineStr">
        <is>
          <t/>
        </is>
      </c>
      <c r="G1742" s="6" t="inlineStr">
        <is>
          <t/>
        </is>
      </c>
    </row>
    <row r="1743">
      <c r="A1743" s="3" t="inlineStr">
        <is>
          <t>SZK 20</t>
        </is>
      </c>
      <c r="B1743" s="2" t="inlineStr">
        <is>
          <t>Odlamovací nôž</t>
        </is>
      </c>
      <c r="C1743" s="1" t="n">
        <v>1.09</v>
      </c>
      <c r="D1743" s="7" t="n">
        <f>HYPERLINK("https://www.somogyi.sk/product/odlamovaci-noz-szk-20-6485","https://www.somogyi.sk/product/odlamovaci-noz-szk-20-6485")</f>
        <v>0.0</v>
      </c>
      <c r="E1743" s="7" t="n">
        <f>HYPERLINK("https://www.somogyi.sk/productimages/product_main_images/small/06485.jpg","https://www.somogyi.sk/productimages/product_main_images/small/06485.jpg")</f>
        <v>0.0</v>
      </c>
      <c r="F1743" s="2" t="inlineStr">
        <is>
          <t>5998312755310</t>
        </is>
      </c>
      <c r="G1743" s="4" t="inlineStr">
        <is>
          <t xml:space="preserve"> • materiál krytu: plast 
 • kovová lišta na čepeľ: nie 
 • náhradné čepele v rukoväti: nie 
 • automatická výmena čepele: nie 
 • automatická fixácia čepele: nie 
 • kompatibilita: SZKB 2 čepeľ 
 • príslušenstvo: 1 ks čepele 
 • šírka čepele: 18 mm</t>
        </is>
      </c>
    </row>
    <row r="1744">
      <c r="A1744" s="3" t="inlineStr">
        <is>
          <t>SZK 21</t>
        </is>
      </c>
      <c r="B1744" s="2" t="inlineStr">
        <is>
          <t>Odlamovací nôž</t>
        </is>
      </c>
      <c r="C1744" s="1" t="n">
        <v>1.99</v>
      </c>
      <c r="D1744" s="7" t="n">
        <f>HYPERLINK("https://www.somogyi.sk/product/odlamovaci-noz-szk-21-6486","https://www.somogyi.sk/product/odlamovaci-noz-szk-21-6486")</f>
        <v>0.0</v>
      </c>
      <c r="E1744" s="7" t="n">
        <f>HYPERLINK("https://www.somogyi.sk/productimages/product_main_images/small/06486.jpg","https://www.somogyi.sk/productimages/product_main_images/small/06486.jpg")</f>
        <v>0.0</v>
      </c>
      <c r="F1744" s="2" t="inlineStr">
        <is>
          <t>5998312755327</t>
        </is>
      </c>
      <c r="G1744" s="4" t="inlineStr">
        <is>
          <t xml:space="preserve"> • materiál krytu: plast 
 • kovová lišta na čepeľ: áno 
 • náhradné čepele v rukoväti: nie 
 • automatická výmena čepele: nie 
 • automatická fixácia čepele: nie 
 • kompatibilita: SZKB 2 čepeľ 
 • príslušenstvo: 1 ks čepele 
 • šírka čepele: 18 mm</t>
        </is>
      </c>
    </row>
    <row r="1745">
      <c r="A1745" s="3" t="inlineStr">
        <is>
          <t>SZKR 9</t>
        </is>
      </c>
      <c r="B1745" s="2" t="inlineStr">
        <is>
          <t>Odlamovací nôž, 9 mm čepeľ</t>
        </is>
      </c>
      <c r="C1745" s="1" t="n">
        <v>2.69</v>
      </c>
      <c r="D1745" s="7" t="n">
        <f>HYPERLINK("https://www.somogyi.sk/product/odlamovaci-noz-9-mm-cepel-szkr-9-16946","https://www.somogyi.sk/product/odlamovaci-noz-9-mm-cepel-szkr-9-16946")</f>
        <v>0.0</v>
      </c>
      <c r="E1745" s="7" t="n">
        <f>HYPERLINK("https://www.somogyi.sk/productimages/product_main_images/small/16946.jpg","https://www.somogyi.sk/productimages/product_main_images/small/16946.jpg")</f>
        <v>0.0</v>
      </c>
      <c r="F1745" s="2" t="inlineStr">
        <is>
          <t>5999084949785</t>
        </is>
      </c>
      <c r="G1745" s="4" t="inlineStr">
        <is>
          <t xml:space="preserve"> • materiál krytu: plast, pogumovaná rukoväť 
 • kovová lišta na čepeľ: áno 
 • automatická fixácia čepele: áno 
 • kompatibilita: SZKB 9 čepeľ 
 • šírka čepele: 9 mm 
 • ďalšie informácie: bezpečnostná pružinová čepeľ</t>
        </is>
      </c>
    </row>
    <row r="1746">
      <c r="A1746" s="3" t="inlineStr">
        <is>
          <t>SZKB 21</t>
        </is>
      </c>
      <c r="B1746" s="2" t="inlineStr">
        <is>
          <t>Náhradná čepeľ, 18 mm (SZK20,21,30,40), 10 ks</t>
        </is>
      </c>
      <c r="C1746" s="1" t="n">
        <v>1.35</v>
      </c>
      <c r="D1746" s="7" t="n">
        <f>HYPERLINK("https://www.somogyi.sk/product/nahradna-cepel-18-mm-szk20-21-30-40-10-ks-szkb-21-16572","https://www.somogyi.sk/product/nahradna-cepel-18-mm-szk20-21-30-40-10-ks-szkb-21-16572")</f>
        <v>0.0</v>
      </c>
      <c r="E1746" s="7" t="n">
        <f>HYPERLINK("https://www.somogyi.sk/productimages/product_main_images/small/16572.jpg","https://www.somogyi.sk/productimages/product_main_images/small/16572.jpg")</f>
        <v>0.0</v>
      </c>
      <c r="F1746" s="2" t="inlineStr">
        <is>
          <t>5999084946043</t>
        </is>
      </c>
      <c r="G1746" s="4" t="inlineStr">
        <is>
          <t xml:space="preserve"> • kompatibilita: k SZK 20, SZK 21, SZK 30, SZK 31 
 • šírka čepele: 18 mm</t>
        </is>
      </c>
    </row>
    <row r="1747">
      <c r="A1747" s="3" t="inlineStr">
        <is>
          <t>SZKB 9</t>
        </is>
      </c>
      <c r="B1747" s="2" t="inlineStr">
        <is>
          <t>Náhradná čepeľ, 9 mm (SZKR 9), 10 ks</t>
        </is>
      </c>
      <c r="C1747" s="1" t="n">
        <v>0.89</v>
      </c>
      <c r="D1747" s="7" t="n">
        <f>HYPERLINK("https://www.somogyi.sk/product/nahradna-cepel-9-mm-szkr-9-10-ks-szkb-9-16953","https://www.somogyi.sk/product/nahradna-cepel-9-mm-szkr-9-10-ks-szkb-9-16953")</f>
        <v>0.0</v>
      </c>
      <c r="E1747" s="7" t="n">
        <f>HYPERLINK("https://www.somogyi.sk/productimages/product_main_images/small/16953.jpg","https://www.somogyi.sk/productimages/product_main_images/small/16953.jpg")</f>
        <v>0.0</v>
      </c>
      <c r="F1747" s="2" t="inlineStr">
        <is>
          <t>5999084949853</t>
        </is>
      </c>
      <c r="G1747" s="4" t="inlineStr">
        <is>
          <t xml:space="preserve"> • kompatibilita: k SZKR 9 
 • šírka čepele: 9 mm</t>
        </is>
      </c>
    </row>
    <row r="1748">
      <c r="A1748" s="6" t="inlineStr">
        <is>
          <t xml:space="preserve">   Meranie, nástroje, spájkovanie / Kliešte</t>
        </is>
      </c>
      <c r="B1748" s="6" t="inlineStr">
        <is>
          <t/>
        </is>
      </c>
      <c r="C1748" s="6" t="inlineStr">
        <is>
          <t/>
        </is>
      </c>
      <c r="D1748" s="6" t="inlineStr">
        <is>
          <t/>
        </is>
      </c>
      <c r="E1748" s="6" t="inlineStr">
        <is>
          <t/>
        </is>
      </c>
      <c r="F1748" s="6" t="inlineStr">
        <is>
          <t/>
        </is>
      </c>
      <c r="G1748" s="6" t="inlineStr">
        <is>
          <t/>
        </is>
      </c>
    </row>
    <row r="1749">
      <c r="A1749" s="3" t="inlineStr">
        <is>
          <t>PD-992</t>
        </is>
      </c>
      <c r="B1749" s="2" t="inlineStr">
        <is>
          <t>Profesionálny nôž na odizolovanie</t>
        </is>
      </c>
      <c r="C1749" s="1" t="n">
        <v>13.99</v>
      </c>
      <c r="D1749" s="7" t="n">
        <f>HYPERLINK("https://www.somogyi.sk/product/profesionalny-noz-na-odizolovanie-pd-992-17517","https://www.somogyi.sk/product/profesionalny-noz-na-odizolovanie-pd-992-17517")</f>
        <v>0.0</v>
      </c>
      <c r="E1749" s="7" t="n">
        <f>HYPERLINK("https://www.somogyi.sk/productimages/product_main_images/small/17517.jpg","https://www.somogyi.sk/productimages/product_main_images/small/17517.jpg")</f>
        <v>0.0</v>
      </c>
      <c r="F1749" s="2" t="inlineStr">
        <is>
          <t>5999084955397</t>
        </is>
      </c>
      <c r="G1749" s="4" t="inlineStr">
        <is>
          <t xml:space="preserve"> • kliešte na odizolovanie: áno 
 • charakteristiky: sklopný, pohodlný chránič čepele s bezpečnostnou poistkou / polohovacia drážka "V" zabraňuje skĺznutiu kábla / chránič čepele drží kábel na mieste pri práci / extrémne pevná, hrubá, odolná čepeľ / ergonomický, praktický dizajn / široké možnosti použitia: 3-30 mm pre priemery káblov / závesná rukoväť</t>
        </is>
      </c>
    </row>
    <row r="1750">
      <c r="A1750" s="3" t="inlineStr">
        <is>
          <t>1PK-052DS</t>
        </is>
      </c>
      <c r="B1750" s="2" t="inlineStr">
        <is>
          <t>Kombinované kliešte</t>
        </is>
      </c>
      <c r="C1750" s="1" t="n">
        <v>11.99</v>
      </c>
      <c r="D1750" s="7" t="n">
        <f>HYPERLINK("https://www.somogyi.sk/product/kombinovane-klieste-1pk-052ds-16265","https://www.somogyi.sk/product/kombinovane-klieste-1pk-052ds-16265")</f>
        <v>0.0</v>
      </c>
      <c r="E1750" s="7" t="n">
        <f>HYPERLINK("https://www.somogyi.sk/productimages/product_main_images/small/16265.jpg","https://www.somogyi.sk/productimages/product_main_images/small/16265.jpg")</f>
        <v>0.0</v>
      </c>
      <c r="F1750" s="2" t="inlineStr">
        <is>
          <t>5999084942977</t>
        </is>
      </c>
      <c r="G1750" s="4" t="inlineStr">
        <is>
          <t xml:space="preserve"> • kombinované: áno 
 • charakteristiky: kalený hrot; izolovaná rukoväť; rez: tvrdá oceľ 2 mm / mäkká oceľ 2,4 mm / meď 3,2 mm 
 • rozmery: 160 mm</t>
        </is>
      </c>
    </row>
    <row r="1751">
      <c r="A1751" s="3" t="inlineStr">
        <is>
          <t>1PK-067DS</t>
        </is>
      </c>
      <c r="B1751" s="2" t="inlineStr">
        <is>
          <t>Štípacie kliešte bočné</t>
        </is>
      </c>
      <c r="C1751" s="1" t="n">
        <v>10.49</v>
      </c>
      <c r="D1751" s="7" t="n">
        <f>HYPERLINK("https://www.somogyi.sk/product/stipacie-klieste-bocne-1pk-067ds-16266","https://www.somogyi.sk/product/stipacie-klieste-bocne-1pk-067ds-16266")</f>
        <v>0.0</v>
      </c>
      <c r="E1751" s="7" t="n">
        <f>HYPERLINK("https://www.somogyi.sk/productimages/product_main_images/small/16266.jpg","https://www.somogyi.sk/productimages/product_main_images/small/16266.jpg")</f>
        <v>0.0</v>
      </c>
      <c r="F1751" s="2" t="inlineStr">
        <is>
          <t>5999084942984</t>
        </is>
      </c>
      <c r="G1751" s="4" t="inlineStr">
        <is>
          <t xml:space="preserve"> • štípacie kliešte: áno 
 • charakteristiky: kalený hrot; izolovaná rukoväť; rez: tvrdá oceľ 2 mm / mäkká oceľ 2,4 mm / meď 3,2 mm 
 • rozmery: 168 mm</t>
        </is>
      </c>
    </row>
    <row r="1752">
      <c r="A1752" s="3" t="inlineStr">
        <is>
          <t>6PK-501</t>
        </is>
      </c>
      <c r="B1752" s="2" t="inlineStr">
        <is>
          <t>Kliešte na odizolovanie</t>
        </is>
      </c>
      <c r="C1752" s="1" t="n">
        <v>11.99</v>
      </c>
      <c r="D1752" s="7" t="n">
        <f>HYPERLINK("https://www.somogyi.sk/product/klieste-na-odizolovanie-6pk-501-17514","https://www.somogyi.sk/product/klieste-na-odizolovanie-6pk-501-17514")</f>
        <v>0.0</v>
      </c>
      <c r="E1752" s="7" t="n">
        <f>HYPERLINK("https://www.somogyi.sk/productimages/product_main_images/small/17514.jpg","https://www.somogyi.sk/productimages/product_main_images/small/17514.jpg")</f>
        <v>0.0</v>
      </c>
      <c r="F1752" s="2" t="inlineStr">
        <is>
          <t>5999084955366</t>
        </is>
      </c>
      <c r="G1752" s="4" t="inlineStr">
        <is>
          <t xml:space="preserve"> • štípacie kliešte: nie 
 • kliešte na odizolovanie: áno 
 • lisovacie: nie 
 • kombinované: nie 
 • špicaté: nie 
 • ďalšie informácie: pre vodiče s priemerom 3,2-9 mm / koaxiálny a telefónny kábel, jednožilový, viacžilový, plochý, okrúhly, UTP/FTP/STP 
 • rozmery: 112 mm</t>
        </is>
      </c>
    </row>
    <row r="1753">
      <c r="A1753" s="3" t="inlineStr">
        <is>
          <t>CP-342</t>
        </is>
      </c>
      <c r="B1753" s="2" t="inlineStr">
        <is>
          <t>Lisovacie kliešte, profesionálne, UTP-RJ45-8P8C</t>
        </is>
      </c>
      <c r="C1753" s="1" t="n">
        <v>59.99</v>
      </c>
      <c r="D1753" s="7" t="n">
        <f>HYPERLINK("https://www.somogyi.sk/product/lisovacie-klieste-profesionalne-utp-rj45-8p8c-cp-342-17877","https://www.somogyi.sk/product/lisovacie-klieste-profesionalne-utp-rj45-8p8c-cp-342-17877")</f>
        <v>0.0</v>
      </c>
      <c r="E1753" s="7" t="n">
        <f>HYPERLINK("https://www.somogyi.sk/productimages/product_main_images/small/17877.jpg","https://www.somogyi.sk/productimages/product_main_images/small/17877.jpg")</f>
        <v>0.0</v>
      </c>
      <c r="F1753" s="2" t="inlineStr">
        <is>
          <t>5999084958992</t>
        </is>
      </c>
      <c r="G1753" s="4" t="inlineStr">
        <is>
          <t xml:space="preserve"> • určený pre prechodové vidlice s otvorenou koncovkou (TS 51PRO)  
 • odizoluje a zároveň krimpuje a reže  
 • rýchlejšia práca, menej chýb, lepší kontakt 
 • bezpečnostná zámka pre jednoduché skladovanie 
 • precízna, zosilnená konštrukcia pohyblivej hlavy 
 • môže sa použiť aj s tradičnými vidlicami</t>
        </is>
      </c>
    </row>
    <row r="1754">
      <c r="A1754" s="3" t="inlineStr">
        <is>
          <t>CP-080E</t>
        </is>
      </c>
      <c r="B1754" s="2" t="inlineStr">
        <is>
          <t>Kliešte na odizolovanie</t>
        </is>
      </c>
      <c r="C1754" s="1" t="n">
        <v>13.99</v>
      </c>
      <c r="D1754" s="7" t="n">
        <f>HYPERLINK("https://www.somogyi.sk/product/klieste-na-odizolovanie-cp-080e-11873","https://www.somogyi.sk/product/klieste-na-odizolovanie-cp-080e-11873")</f>
        <v>0.0</v>
      </c>
      <c r="E1754" s="7" t="n">
        <f>HYPERLINK("https://www.somogyi.sk/productimages/product_main_images/small/11873.jpg","https://www.somogyi.sk/productimages/product_main_images/small/11873.jpg")</f>
        <v>0.0</v>
      </c>
      <c r="F1754" s="2" t="inlineStr">
        <is>
          <t>5999084900854</t>
        </is>
      </c>
      <c r="G1754" s="4" t="inlineStr">
        <is>
          <t xml:space="preserve"> • štípacie kliešte: áno 
 • kliešte na odizolovanie: nie 
 • lisovacie: nie 
 • kombinované: nie 
 • špicaté: nie 
 • charakteristiky: odizolovanie:  do 0,2 - 6 mm²; nastaviteľná dĺžka odizolovania; reže, odizoluje 
 • rozmery: 172 mm</t>
        </is>
      </c>
    </row>
    <row r="1755">
      <c r="A1755" s="3" t="inlineStr">
        <is>
          <t>PA-101</t>
        </is>
      </c>
      <c r="B1755" s="2" t="inlineStr">
        <is>
          <t>Elektrikárske kliešte</t>
        </is>
      </c>
      <c r="C1755" s="1" t="n">
        <v>9.49</v>
      </c>
      <c r="D1755" s="7" t="n">
        <f>HYPERLINK("https://www.somogyi.sk/product/elektrikarske-klieste-pa-101-11872","https://www.somogyi.sk/product/elektrikarske-klieste-pa-101-11872")</f>
        <v>0.0</v>
      </c>
      <c r="E1755" s="7" t="n">
        <f>HYPERLINK("https://www.somogyi.sk/productimages/product_main_images/small/11872.jpg","https://www.somogyi.sk/productimages/product_main_images/small/11872.jpg")</f>
        <v>0.0</v>
      </c>
      <c r="F1755" s="2" t="inlineStr">
        <is>
          <t>5999084900847</t>
        </is>
      </c>
      <c r="G1755" s="4" t="inlineStr">
        <is>
          <t xml:space="preserve"> • štípacie kliešte: áno 
 • kliešte na odizolovanie: nie 
 • lisovacie: nie 
 • kombinované: nie 
 • špicaté: nie 
 • charakteristiky: čepeľ z tvrdého kovu: 65 Mn (HRC: 52°), izolovaná rukoväť 
 • rozmery: 130 mm</t>
        </is>
      </c>
    </row>
    <row r="1756">
      <c r="A1756" s="3" t="inlineStr">
        <is>
          <t>KOF 1000</t>
        </is>
      </c>
      <c r="B1756" s="2" t="inlineStr">
        <is>
          <t>Kombinované kliešte, 1000 V, 170 mm</t>
        </is>
      </c>
      <c r="C1756" s="1" t="n">
        <v>11.49</v>
      </c>
      <c r="D1756" s="7" t="n">
        <f>HYPERLINK("https://www.somogyi.sk/product/kombinovane-klieste-1000-v-170-mm-kof-1000-16602","https://www.somogyi.sk/product/kombinovane-klieste-1000-v-170-mm-kof-1000-16602")</f>
        <v>0.0</v>
      </c>
      <c r="E1756" s="7" t="n">
        <f>HYPERLINK("https://www.somogyi.sk/productimages/product_main_images/small/16602.jpg","https://www.somogyi.sk/productimages/product_main_images/small/16602.jpg")</f>
        <v>0.0</v>
      </c>
      <c r="F1756" s="2" t="inlineStr">
        <is>
          <t>5999084946340</t>
        </is>
      </c>
      <c r="G1756" s="4" t="inlineStr">
        <is>
          <t xml:space="preserve"> • štípacie kliešte: nie 
 • kliešte na odizolovanie: nie 
 • lisovacie: nie 
 • kombinované: áno 
 • špicaté: nie 
 • charakteristiky: základný materiál: oceľ, izolovaná rukoväť 
 • rozmery: 170 mm</t>
        </is>
      </c>
    </row>
    <row r="1757">
      <c r="A1757" s="3" t="inlineStr">
        <is>
          <t>8PK-371D</t>
        </is>
      </c>
      <c r="B1757" s="2" t="inlineStr">
        <is>
          <t>Kliešte na odizolovanie a lisovanie</t>
        </is>
      </c>
      <c r="C1757" s="1" t="n">
        <v>31.99</v>
      </c>
      <c r="D1757" s="7" t="n">
        <f>HYPERLINK("https://www.somogyi.sk/product/klieste-na-odizolovanie-a-lisovanie-8pk-371d-4464","https://www.somogyi.sk/product/klieste-na-odizolovanie-a-lisovanie-8pk-371d-4464")</f>
        <v>0.0</v>
      </c>
      <c r="E1757" s="7" t="n">
        <f>HYPERLINK("https://www.somogyi.sk/productimages/product_main_images/small/04464.jpg","https://www.somogyi.sk/productimages/product_main_images/small/04464.jpg")</f>
        <v>0.0</v>
      </c>
      <c r="F1757" s="2" t="inlineStr">
        <is>
          <t>5998312739266</t>
        </is>
      </c>
      <c r="G1757" s="4" t="inlineStr">
        <is>
          <t xml:space="preserve"> • štípacie kliešte: nie 
 • kliešte na odizolovanie: áno 
 • lisovacie: nie 
 • kombinované: nie 
 • špicaté: nie 
 • charakteristiky: k izolovaným / neizolovaným očkám: do 0,5 - 6 mm²; odizolovanie: do 0,2 - 6 mm²; fixná dĺžka odizolovania; 
 • rozmery: 210 mm</t>
        </is>
      </c>
    </row>
    <row r="1758">
      <c r="A1758" s="3" t="inlineStr">
        <is>
          <t>6PK-230C</t>
        </is>
      </c>
      <c r="B1758" s="2" t="inlineStr">
        <is>
          <t>Lisovacie kliešte</t>
        </is>
      </c>
      <c r="C1758" s="1" t="n">
        <v>42.99</v>
      </c>
      <c r="D1758" s="7" t="n">
        <f>HYPERLINK("https://www.somogyi.sk/product/lisovacie-klieste-6pk-230c-4677","https://www.somogyi.sk/product/lisovacie-klieste-6pk-230c-4677")</f>
        <v>0.0</v>
      </c>
      <c r="E1758" s="7" t="n">
        <f>HYPERLINK("https://www.somogyi.sk/productimages/product_main_images/small/04677.jpg","https://www.somogyi.sk/productimages/product_main_images/small/04677.jpg")</f>
        <v>0.0</v>
      </c>
      <c r="F1758" s="2" t="inlineStr">
        <is>
          <t>5998312741276</t>
        </is>
      </c>
      <c r="G1758" s="4" t="inlineStr">
        <is>
          <t xml:space="preserve"> • štípacie kliešte: nie 
 • kliešte na odizolovanie: nie 
 • lisovacie: lisovanie neizolovaných káblových koncoviek 
 • kombinované: nie 
 • špicaté: nie 
 • charakteristiky: do 0,5 - 6 mm² ; s aretovým prevodom, s  automatickým blokovaním; pri chybnom lisovaní možnosť opravy;  možnosť výberu zo 6 rôznych tlakov 
 • rozmery: 220 mm</t>
        </is>
      </c>
    </row>
    <row r="1759">
      <c r="A1759" s="3" t="inlineStr">
        <is>
          <t>TW 4-6</t>
        </is>
      </c>
      <c r="B1759" s="2" t="inlineStr">
        <is>
          <t>Lisovacie kliešte, na telefónne koncovky</t>
        </is>
      </c>
      <c r="C1759" s="1" t="n">
        <v>15.49</v>
      </c>
      <c r="D1759" s="7" t="n">
        <f>HYPERLINK("https://www.somogyi.sk/product/lisovacie-klieste-na-telefonne-koncovky-tw-4-6-10418","https://www.somogyi.sk/product/lisovacie-klieste-na-telefonne-koncovky-tw-4-6-10418")</f>
        <v>0.0</v>
      </c>
      <c r="E1759" s="7" t="n">
        <f>HYPERLINK("https://www.somogyi.sk/productimages/product_main_images/small/10418.jpg","https://www.somogyi.sk/productimages/product_main_images/small/10418.jpg")</f>
        <v>0.0</v>
      </c>
      <c r="F1759" s="2" t="inlineStr">
        <is>
          <t>5998312789841</t>
        </is>
      </c>
      <c r="G1759" s="4" t="inlineStr">
        <is>
          <t xml:space="preserve"> • štípacie kliešte: nie 
 • kliešte na odizolovanie: nie 
 • lisovacie: lisovanie telefónnych koncoviek 
 • kombinované: nie 
 • špicaté: nie 
 • charakteristiky: ku koncovkám 4/4, 6/6, 8/8; dĺžky odizolovania: 6 / 12 mm; reže, odizoluje, lisuje; kov 
 • rozmery: 210 mm</t>
        </is>
      </c>
    </row>
    <row r="1760">
      <c r="A1760" s="3" t="inlineStr">
        <is>
          <t>HT 109</t>
        </is>
      </c>
      <c r="B1760" s="2" t="inlineStr">
        <is>
          <t>Elektrikárske štípacie kliešte</t>
        </is>
      </c>
      <c r="C1760" s="1" t="n">
        <v>5.99</v>
      </c>
      <c r="D1760" s="7" t="n">
        <f>HYPERLINK("https://www.somogyi.sk/product/elektrikarske-stipacie-klieste-ht-109-1795","https://www.somogyi.sk/product/elektrikarske-stipacie-klieste-ht-109-1795")</f>
        <v>0.0</v>
      </c>
      <c r="E1760" s="7" t="n">
        <f>HYPERLINK("https://www.somogyi.sk/productimages/product_main_images/small/01795.jpg","https://www.somogyi.sk/productimages/product_main_images/small/01795.jpg")</f>
        <v>0.0</v>
      </c>
      <c r="F1760" s="2" t="inlineStr">
        <is>
          <t>5998312702635</t>
        </is>
      </c>
      <c r="G1760" s="4" t="inlineStr">
        <is>
          <t xml:space="preserve"> • štípacie kliešte: áno 
 • kliešte na odizolovanie: nie 
 • lisovacie: nie 
 • kombinované: nie 
 • špicaté: nie 
 • charakteristiky: - 
 • rozmery: 130 mm</t>
        </is>
      </c>
    </row>
    <row r="1761">
      <c r="A1761" s="3" t="inlineStr">
        <is>
          <t>8PK-313B</t>
        </is>
      </c>
      <c r="B1761" s="2" t="inlineStr">
        <is>
          <t>Kliešte na káblové oká</t>
        </is>
      </c>
      <c r="C1761" s="1" t="n">
        <v>13.49</v>
      </c>
      <c r="D1761" s="7" t="n">
        <f>HYPERLINK("https://www.somogyi.sk/product/klieste-na-kablove-oka-8pk-313b-4465","https://www.somogyi.sk/product/klieste-na-kablove-oka-8pk-313b-4465")</f>
        <v>0.0</v>
      </c>
      <c r="E1761" s="7" t="n">
        <f>HYPERLINK("https://www.somogyi.sk/productimages/product_main_images/small/04465.jpg","https://www.somogyi.sk/productimages/product_main_images/small/04465.jpg")</f>
        <v>0.0</v>
      </c>
      <c r="F1761" s="2" t="inlineStr">
        <is>
          <t>5998312739273</t>
        </is>
      </c>
      <c r="G1761" s="4" t="inlineStr">
        <is>
          <t xml:space="preserve"> • štípacie kliešte: nie 
 • kliešte na odizolovanie: nie 
 • lisovacie: nie 
 • kombinované: nie 
 • špicaté: nie 
 • ďalšie informácie: univerzálne 
 • charakteristiky: izolované: červené: do 1 mm², modré:  do 2,5 mm² , žlté: do 6 mm²; neizolované: do 1,5 / 2,5 / 6 mm²; odizolovanie: do 0,75 - 6 mm²; skracovanie skrutiek: M2,6 / M3 / M3,5 / M4 / M5 
 • rozmery: 230 mm</t>
        </is>
      </c>
    </row>
    <row r="1762">
      <c r="A1762" s="3" t="inlineStr">
        <is>
          <t>1PK-036S</t>
        </is>
      </c>
      <c r="B1762" s="2" t="inlineStr">
        <is>
          <t>Kliešte špicaté</t>
        </is>
      </c>
      <c r="C1762" s="1" t="n">
        <v>7.69</v>
      </c>
      <c r="D1762" s="7" t="n">
        <f>HYPERLINK("https://www.somogyi.sk/product/klieste-spicate-1pk-036s-4455","https://www.somogyi.sk/product/klieste-spicate-1pk-036s-4455")</f>
        <v>0.0</v>
      </c>
      <c r="E1762" s="7" t="n">
        <f>HYPERLINK("https://www.somogyi.sk/productimages/product_main_images/small/04455.jpg","https://www.somogyi.sk/productimages/product_main_images/small/04455.jpg")</f>
        <v>0.0</v>
      </c>
      <c r="F1762" s="2" t="inlineStr">
        <is>
          <t>5998312739174</t>
        </is>
      </c>
      <c r="G1762" s="4" t="inlineStr">
        <is>
          <t xml:space="preserve"> • štípacie kliešte: nie 
 • kliešte na odizolovanie: nie 
 • lisovacie: nie 
 • kombinované: nie 
 • špicaté: áno 
 • charakteristiky: kalený / zosilnený hrot; drsná rukoväť z PVC; rez:  tvrdá oceľ 0,8 mm / mäkká oceľ 1,3 mm / meď 1,6 mm 
 • rozmery: 135 mm</t>
        </is>
      </c>
    </row>
    <row r="1763">
      <c r="A1763" s="3" t="inlineStr">
        <is>
          <t>8PK-CT005B</t>
        </is>
      </c>
      <c r="B1763" s="2" t="inlineStr">
        <is>
          <t>Lisovacie kliešte na koncové dutinky, s dutinkami</t>
        </is>
      </c>
      <c r="C1763" s="1" t="n">
        <v>22.99</v>
      </c>
      <c r="D1763" s="7" t="n">
        <f>HYPERLINK("https://www.somogyi.sk/product/lisovacie-klieste-na-koncove-dutinky-s-dutinkami-8pk-ct005b-18290","https://www.somogyi.sk/product/lisovacie-klieste-na-koncove-dutinky-s-dutinkami-8pk-ct005b-18290")</f>
        <v>0.0</v>
      </c>
      <c r="E1763" s="7" t="n">
        <f>HYPERLINK("https://www.somogyi.sk/productimages/product_main_images/small/18290.jpg","https://www.somogyi.sk/productimages/product_main_images/small/18290.jpg")</f>
        <v>0.0</v>
      </c>
      <c r="F1763" s="2" t="inlineStr">
        <is>
          <t>5999084963125</t>
        </is>
      </c>
      <c r="G1763" s="4" t="inlineStr">
        <is>
          <t xml:space="preserve"> • lisovanie koncových dutiniek na káble 
 • 6 rozmerov lisovania 
 • 0,25 / 0,75 / 1,0 / 1,5 / 2,0 / 2,5 mm2 
 • 200 ks koncových dutiniek je príslušenstvom 
 • 40x0,25mm2 / 40x0,75mm2 / 40x1,0mm2 / 40x1,5mm2 / 40x2,5mm2  
 • dĺžka klieští: 145 mm</t>
        </is>
      </c>
    </row>
    <row r="1764">
      <c r="A1764" s="3" t="inlineStr">
        <is>
          <t>1PK-037S</t>
        </is>
      </c>
      <c r="B1764" s="2" t="inlineStr">
        <is>
          <t>Bočné štípacie kliešte</t>
        </is>
      </c>
      <c r="C1764" s="1" t="n">
        <v>7.69</v>
      </c>
      <c r="D1764" s="7" t="n">
        <f>HYPERLINK("https://www.somogyi.sk/product/bocne-stipacie-klieste-1pk-037s-4454","https://www.somogyi.sk/product/bocne-stipacie-klieste-1pk-037s-4454")</f>
        <v>0.0</v>
      </c>
      <c r="E1764" s="7" t="n">
        <f>HYPERLINK("https://www.somogyi.sk/productimages/product_main_images/small/04454.jpg","https://www.somogyi.sk/productimages/product_main_images/small/04454.jpg")</f>
        <v>0.0</v>
      </c>
      <c r="F1764" s="2" t="inlineStr">
        <is>
          <t>5998312739167</t>
        </is>
      </c>
      <c r="G1764" s="4" t="inlineStr">
        <is>
          <t xml:space="preserve"> • štípacie kliešte: áno 
 • kliešte na odizolovanie: nie 
 • lisovacie: nie 
 • kombinované: nie 
 • špicaté: nie 
 • charakteristiky: kalený / zosilnený hrot;  drsná rukoväť z PVC; rez:  tvrdá oceľ  0,8 mm / mäkká  oceľ 1,3 mm / meď 1,6 mm 
 • rozmery: 110 mm</t>
        </is>
      </c>
    </row>
    <row r="1765">
      <c r="A1765" s="3" t="inlineStr">
        <is>
          <t>TW 3-6</t>
        </is>
      </c>
      <c r="B1765" s="2" t="inlineStr">
        <is>
          <t>Lisovacie kliešte, na telefónne koncovky</t>
        </is>
      </c>
      <c r="C1765" s="1" t="n">
        <v>10.99</v>
      </c>
      <c r="D1765" s="7" t="n">
        <f>HYPERLINK("https://www.somogyi.sk/product/lisovacie-klieste-na-telefonne-koncovky-tw-3-6-4718","https://www.somogyi.sk/product/lisovacie-klieste-na-telefonne-koncovky-tw-3-6-4718")</f>
        <v>0.0</v>
      </c>
      <c r="E1765" s="7" t="n">
        <f>HYPERLINK("https://www.somogyi.sk/productimages/product_main_images/small/04718.jpg","https://www.somogyi.sk/productimages/product_main_images/small/04718.jpg")</f>
        <v>0.0</v>
      </c>
      <c r="F1765" s="2" t="inlineStr">
        <is>
          <t>5998312741634</t>
        </is>
      </c>
      <c r="G1765" s="4" t="inlineStr">
        <is>
          <t xml:space="preserve"> • štípacie kliešte: nie 
 • kliešte na odizolovanie: nie 
 • lisovacie: lisovanie telefónnych koncoviek 
 • kombinované: nie 
 • špicaté: nie 
 • charakteristiky: ku koncovkám 4/4, 6/6, 8/8; dĺžky odizolovania: 6 / 12 mm; reže, odizoluje, listuje; ABS plast 
 • rozmery: 210 mm</t>
        </is>
      </c>
    </row>
    <row r="1766">
      <c r="A1766" s="3" t="inlineStr">
        <is>
          <t>6PK-230PA</t>
        </is>
      </c>
      <c r="B1766" s="2" t="inlineStr">
        <is>
          <t>Krimpovacie kliešte, pre koaxiálny kábel</t>
        </is>
      </c>
      <c r="C1766" s="1" t="n">
        <v>45.99</v>
      </c>
      <c r="D1766" s="7" t="n">
        <f>HYPERLINK("https://www.somogyi.sk/product/krimpovacie-klieste-pre-koaxialny-kabel-6pk-230pa-4463","https://www.somogyi.sk/product/krimpovacie-klieste-pre-koaxialny-kabel-6pk-230pa-4463")</f>
        <v>0.0</v>
      </c>
      <c r="E1766" s="7" t="n">
        <f>HYPERLINK("https://www.somogyi.sk/productimages/product_main_images/small/04463.jpg","https://www.somogyi.sk/productimages/product_main_images/small/04463.jpg")</f>
        <v>0.0</v>
      </c>
      <c r="F1766" s="2" t="inlineStr">
        <is>
          <t>5998312739259</t>
        </is>
      </c>
      <c r="G1766" s="4" t="inlineStr">
        <is>
          <t xml:space="preserve"> • štípacie kliešte: nie 
 • kliešte na odizolovanie: nie 
 • lisovacie: lisovanie koaxiálnych koncoviek 
 • kombinované: nie 
 • špicaté: nie 
 • charakteristiky: k 5 rôznym rozmerom: 1,73 / 2,49 / 5,41 / 6,48 / 8,15 mm; rozmery koaxiálneho kábla: RG 55 / 58 / 59 / 5 / 6;  s aretovým prevodom, s automatickým blokovaním; pri chybnom lisovaní možnosť opravy ; možnosť výberu zo 6 rôznych tlakov 
 • rozmery: 230 mm</t>
        </is>
      </c>
    </row>
    <row r="1767">
      <c r="A1767" s="3" t="inlineStr">
        <is>
          <t>6PK-301H</t>
        </is>
      </c>
      <c r="B1767" s="2" t="inlineStr">
        <is>
          <t>Lisovacie kliešte</t>
        </is>
      </c>
      <c r="C1767" s="1" t="n">
        <v>42.99</v>
      </c>
      <c r="D1767" s="7" t="n">
        <f>HYPERLINK("https://www.somogyi.sk/product/lisovacie-klieste-6pk-301h-4462","https://www.somogyi.sk/product/lisovacie-klieste-6pk-301h-4462")</f>
        <v>0.0</v>
      </c>
      <c r="E1767" s="7" t="n">
        <f>HYPERLINK("https://www.somogyi.sk/productimages/product_main_images/small/04462.jpg","https://www.somogyi.sk/productimages/product_main_images/small/04462.jpg")</f>
        <v>0.0</v>
      </c>
      <c r="F1767" s="2" t="inlineStr">
        <is>
          <t>5998312739242</t>
        </is>
      </c>
      <c r="G1767" s="4" t="inlineStr">
        <is>
          <t xml:space="preserve"> • štípacie kliešte: nie 
 • kliešte na odizolovanie: nie 
 • lisovacie: lisovanie izolovaných káblových koncoviek 
 • kombinované: nie 
 • špicaté: nie 
 • charakteristiky: červená: do 0,5 - 1 mm² , modrá:  do 1,5 - 2,5 mm² , žltá: do  4 - 6 mm²; s aretovým prevodom, s automatickým blokovaním ; pri chybnom lisovaní možnosť opravy;  možnosť výberu zo 6 rôznych tlakov 
 • rozmery: 220 mm</t>
        </is>
      </c>
    </row>
    <row r="1768">
      <c r="A1768" s="6" t="inlineStr">
        <is>
          <t xml:space="preserve">   Meranie, nástroje, spájkovanie / Sada skrutkovačov a náradia</t>
        </is>
      </c>
      <c r="B1768" s="6" t="inlineStr">
        <is>
          <t/>
        </is>
      </c>
      <c r="C1768" s="6" t="inlineStr">
        <is>
          <t/>
        </is>
      </c>
      <c r="D1768" s="6" t="inlineStr">
        <is>
          <t/>
        </is>
      </c>
      <c r="E1768" s="6" t="inlineStr">
        <is>
          <t/>
        </is>
      </c>
      <c r="F1768" s="6" t="inlineStr">
        <is>
          <t/>
        </is>
      </c>
      <c r="G1768" s="6" t="inlineStr">
        <is>
          <t/>
        </is>
      </c>
    </row>
    <row r="1769">
      <c r="A1769" s="3" t="inlineStr">
        <is>
          <t>DE 101505</t>
        </is>
      </c>
      <c r="B1769" s="2" t="inlineStr">
        <is>
          <t>Sada skrutkovačov, račnových, 101 ks</t>
        </is>
      </c>
      <c r="C1769" s="1" t="n">
        <v>30.99</v>
      </c>
      <c r="D1769" s="7" t="n">
        <f>HYPERLINK("https://www.somogyi.sk/product/sada-skrutkovacov-racnovych-101-ks-de-101505-13818","https://www.somogyi.sk/product/sada-skrutkovacov-racnovych-101-ks-de-101505-13818")</f>
        <v>0.0</v>
      </c>
      <c r="E1769" s="7" t="n">
        <f>HYPERLINK("https://www.somogyi.sk/productimages/product_main_images/small/13818.jpg","https://www.somogyi.sk/productimages/product_main_images/small/13818.jpg")</f>
        <v>0.0</v>
      </c>
      <c r="F1769" s="2" t="inlineStr">
        <is>
          <t>5999084918705</t>
        </is>
      </c>
      <c r="G1769" s="4" t="inlineStr">
        <is>
          <t xml:space="preserve"> • plochá: 3; 4; 4,5; 5; 5,5; 6; 6,5; 7; 8 
 • phillips: PH0, PH1, 5 ks PH2, PH3 
 • pozidrive: PZ0, PZ1, 5 ks PZ2, PZ3 
 • Torx: T8, T10, T15, T20, T25, T27, T30, T40, T50 
 • bezpečnostný Torx: T8H, T10H, T15H, T20H, T25H, T27H, T30H, T35H, T40H 
 • šesťhranné: 1/16", 5/64",3/32", 7/64", 1/8", 9/64", 5/32", 3/16", 7/32", 1/4" 
 • šesťhranné s dierkou: 5/64", 3/32", 7/64", 1/8", 9/64", 5/32" 
 • štvorhran: S0, S1, S2, S3 
 • Torq-set: 6; 8; 10 
 • Tri-Wing: 1; 2; 3; 4 
 • vidlicová: 4; 6; 8; 10 
 • clutch: C1, C2, C3 
 • drážkované: M5, M6, M8 
 • rukoväť / račna: ¼", račňová, prepínateľná, fixovateľná, magnetická, gumená, 150 mm dlhá 
 • ostatné príslušenstvo: 25 mm adaptér, 50 mm adaptér, magnetický nadstavec:  60 mm, bit typu"Y" , puzdro 
 • ďalšie informácie: materiál bitov: Cr-V</t>
        </is>
      </c>
    </row>
    <row r="1770">
      <c r="A1770" s="3" t="inlineStr">
        <is>
          <t>DE 418679</t>
        </is>
      </c>
      <c r="B1770" s="2" t="inlineStr">
        <is>
          <t>Sada náradia, 24 ks</t>
        </is>
      </c>
      <c r="C1770" s="1" t="n">
        <v>26.99</v>
      </c>
      <c r="D1770" s="7" t="n">
        <f>HYPERLINK("https://www.somogyi.sk/product/sada-naradia-24-ks-de-418679-18164","https://www.somogyi.sk/product/sada-naradia-24-ks-de-418679-18164")</f>
        <v>0.0</v>
      </c>
      <c r="E1770" s="7" t="n">
        <f>HYPERLINK("https://www.somogyi.sk/productimages/product_main_images/small/18164.jpg","https://www.somogyi.sk/productimages/product_main_images/small/18164.jpg")</f>
        <v>0.0</v>
      </c>
      <c r="F1770" s="2" t="inlineStr">
        <is>
          <t>5999084961862</t>
        </is>
      </c>
      <c r="G1770" s="4" t="inlineStr">
        <is>
          <t xml:space="preserve"> • na bežné použitie v domácnosti 
 • magnetický skrutkovač, 155 mm 
 • 20 ks bitov, podľa 4 noriem 
 • kombinované kliešte, 165 mm 
 • pazúrové kladivo, 160 mm, 8 oz 
 • nastaviteľný kľúč, 150 mm / 20 mm 
 • v plastovom boxe 
 • 280 x 45 x 185 mm / 1,2 kg</t>
        </is>
      </c>
    </row>
    <row r="1771">
      <c r="A1771" s="3" t="inlineStr">
        <is>
          <t>SD-081H</t>
        </is>
      </c>
      <c r="B1771" s="2" t="inlineStr">
        <is>
          <t>Sada skrutkovačov, 7 ks</t>
        </is>
      </c>
      <c r="C1771" s="1" t="n">
        <v>28.99</v>
      </c>
      <c r="D1771" s="7" t="n">
        <f>HYPERLINK("https://www.somogyi.sk/product/sada-skrutkovacov-7-ks-sd-081h-17515","https://www.somogyi.sk/product/sada-skrutkovacov-7-ks-sd-081h-17515")</f>
        <v>0.0</v>
      </c>
      <c r="E1771" s="7" t="n">
        <f>HYPERLINK("https://www.somogyi.sk/productimages/product_main_images/small/17515.jpg","https://www.somogyi.sk/productimages/product_main_images/small/17515.jpg")</f>
        <v>0.0</v>
      </c>
      <c r="F1771" s="2" t="inlineStr">
        <is>
          <t>5999084955373</t>
        </is>
      </c>
      <c r="G1771" s="4" t="inlineStr">
        <is>
          <t xml:space="preserve"> • plochá: 2.0, 2.4 
 •  
 • ďalšie informácie: 2 typy štandardov hláv špecifických pre Apple (Pentalobe a Tri-point) / na opravu iOS a Android telefónov, tabletov, notebookov, fotoaparátov, kamier, Apple a iných smart hodiniek / 4 typy hláv, 7 skrutkovačov / chróm-molybdén vanádiová oceľ / Tri-Point: TRIY06 (iPhone, iWatch...) / Pentalobe: TS1 (pre produkty Apple)</t>
        </is>
      </c>
    </row>
    <row r="1772">
      <c r="A1772" s="3" t="inlineStr">
        <is>
          <t>CSH 1</t>
        </is>
      </c>
      <c r="B1772" s="2" t="inlineStr">
        <is>
          <t>Sada skrutkovačov pre mechanikov, 6 ks</t>
        </is>
      </c>
      <c r="C1772" s="1" t="n">
        <v>2.59</v>
      </c>
      <c r="D1772" s="7" t="n">
        <f>HYPERLINK("https://www.somogyi.sk/product/sada-skrutkovacov-pre-mechanikov-6-ks-csh-1-2060","https://www.somogyi.sk/product/sada-skrutkovacov-pre-mechanikov-6-ks-csh-1-2060")</f>
        <v>0.0</v>
      </c>
      <c r="E1772" s="7" t="n">
        <f>HYPERLINK("https://www.somogyi.sk/productimages/product_main_images/small/02060.jpg","https://www.somogyi.sk/productimages/product_main_images/small/02060.jpg")</f>
        <v>0.0</v>
      </c>
      <c r="F1772" s="2" t="inlineStr">
        <is>
          <t>5998312722879</t>
        </is>
      </c>
      <c r="G1772" s="4" t="inlineStr">
        <is>
          <t xml:space="preserve"> • plochá: 1,4; 2; 2,4; 3 
 • phillips: PH0, PH1 
 • ostatné príslušenstvo: puzdro 
 • ďalšie informácie: kovová</t>
        </is>
      </c>
    </row>
    <row r="1773">
      <c r="A1773" s="3" t="inlineStr">
        <is>
          <t>HW-229B</t>
        </is>
      </c>
      <c r="B1773" s="2" t="inlineStr">
        <is>
          <t>Sada imbusových kľúčov, 9 ks</t>
        </is>
      </c>
      <c r="C1773" s="1" t="n">
        <v>10.49</v>
      </c>
      <c r="D1773" s="7" t="n">
        <f>HYPERLINK("https://www.somogyi.sk/product/sada-imbusovych-klucov-9-ks-hw-229b-11878","https://www.somogyi.sk/product/sada-imbusovych-klucov-9-ks-hw-229b-11878")</f>
        <v>0.0</v>
      </c>
      <c r="E1773" s="7" t="n">
        <f>HYPERLINK("https://www.somogyi.sk/productimages/product_main_images/small/11878.jpg","https://www.somogyi.sk/productimages/product_main_images/small/11878.jpg")</f>
        <v>0.0</v>
      </c>
      <c r="F1773" s="2" t="inlineStr">
        <is>
          <t>5999084900908</t>
        </is>
      </c>
      <c r="G1773" s="4" t="inlineStr">
        <is>
          <t xml:space="preserve"> • šesťhranná guľatá hlava: 1,5; 2; 2,5; 3; 4; 5; 6; 8; 10 
 • ostatné príslušenstvo: puzdro 
 • ďalšie informácie: dlhá rúčka, materiál: Cr-V</t>
        </is>
      </c>
    </row>
    <row r="1774">
      <c r="A1774" s="3" t="inlineStr">
        <is>
          <t>8PK-8100</t>
        </is>
      </c>
      <c r="B1774" s="2" t="inlineStr">
        <is>
          <t>Sada skrutkovačov s izolovanou rukoväťou, 1000V, 7 ks</t>
        </is>
      </c>
      <c r="C1774" s="1" t="n">
        <v>24.99</v>
      </c>
      <c r="D1774" s="7" t="n">
        <f>HYPERLINK("https://www.somogyi.sk/product/sada-skrutkovacov-s-izolovanou-rukovatou-1000v-7-ks-8pk-8100-4488","https://www.somogyi.sk/product/sada-skrutkovacov-s-izolovanou-rukovatou-1000v-7-ks-8pk-8100-4488")</f>
        <v>0.0</v>
      </c>
      <c r="E1774" s="7" t="n">
        <f>HYPERLINK("https://www.somogyi.sk/productimages/product_main_images/small/04488.jpg","https://www.somogyi.sk/productimages/product_main_images/small/04488.jpg")</f>
        <v>0.0</v>
      </c>
      <c r="F1774" s="2" t="inlineStr">
        <is>
          <t>5998312739501</t>
        </is>
      </c>
      <c r="G1774" s="4" t="inlineStr">
        <is>
          <t xml:space="preserve"> • plochá: 2,5; 4; 5,5; 6,5 
 • phillips: PH0, PH1, PH2 
 • izolovaná do 1000 V: áno 
 • ďalšie informácie: materiál: Cr-V, zmagnetizovaná hlavica</t>
        </is>
      </c>
    </row>
    <row r="1775">
      <c r="A1775" s="6" t="inlineStr">
        <is>
          <t xml:space="preserve">   Meranie, nástroje, spájkovanie / Lupa, stojan na zachytenie plošných spojov</t>
        </is>
      </c>
      <c r="B1775" s="6" t="inlineStr">
        <is>
          <t/>
        </is>
      </c>
      <c r="C1775" s="6" t="inlineStr">
        <is>
          <t/>
        </is>
      </c>
      <c r="D1775" s="6" t="inlineStr">
        <is>
          <t/>
        </is>
      </c>
      <c r="E1775" s="6" t="inlineStr">
        <is>
          <t/>
        </is>
      </c>
      <c r="F1775" s="6" t="inlineStr">
        <is>
          <t/>
        </is>
      </c>
      <c r="G1775" s="6" t="inlineStr">
        <is>
          <t/>
        </is>
      </c>
    </row>
    <row r="1776">
      <c r="A1776" s="3" t="inlineStr">
        <is>
          <t>MA-019</t>
        </is>
      </c>
      <c r="B1776" s="2" t="inlineStr">
        <is>
          <t>Ručná lupa, s osvetlením</t>
        </is>
      </c>
      <c r="C1776" s="1" t="n">
        <v>13.99</v>
      </c>
      <c r="D1776" s="7" t="n">
        <f>HYPERLINK("https://www.somogyi.sk/product/rucna-lupa-s-osvetlenim-ma-019-11871","https://www.somogyi.sk/product/rucna-lupa-s-osvetlenim-ma-019-11871")</f>
        <v>0.0</v>
      </c>
      <c r="E1776" s="7" t="n">
        <f>HYPERLINK("https://www.somogyi.sk/productimages/product_main_images/small/11871.jpg","https://www.somogyi.sk/productimages/product_main_images/small/11871.jpg")</f>
        <v>0.0</v>
      </c>
      <c r="F1776" s="2" t="inlineStr">
        <is>
          <t>5999084900830</t>
        </is>
      </c>
      <c r="G1776" s="4" t="inlineStr">
        <is>
          <t xml:space="preserve"> • miera zväčšenia: 3x (8 dioptrií) 
 • priemer šošovky: Ø56 mm 
 • materiál šošovky: kvalitné sklo 
 • snímač na kontrolu bankoviek: 1 ks UV LED 
 • osvetlenie: 8 ks LED 
 • napájanie: 3 x AAA  batéria (nie je príslušenstvo)</t>
        </is>
      </c>
    </row>
    <row r="1777">
      <c r="A1777" s="3" t="inlineStr">
        <is>
          <t>MA-022</t>
        </is>
      </c>
      <c r="B1777" s="2" t="inlineStr">
        <is>
          <t>Ručná lupa, s osvetlením</t>
        </is>
      </c>
      <c r="C1777" s="1" t="n">
        <v>5.39</v>
      </c>
      <c r="D1777" s="7" t="n">
        <f>HYPERLINK("https://www.somogyi.sk/product/rucna-lupa-s-osvetlenim-ma-022-11870","https://www.somogyi.sk/product/rucna-lupa-s-osvetlenim-ma-022-11870")</f>
        <v>0.0</v>
      </c>
      <c r="E1777" s="7" t="n">
        <f>HYPERLINK("https://www.somogyi.sk/productimages/product_main_images/small/11870.jpg","https://www.somogyi.sk/productimages/product_main_images/small/11870.jpg")</f>
        <v>0.0</v>
      </c>
      <c r="F1777" s="2" t="inlineStr">
        <is>
          <t>5999084900823</t>
        </is>
      </c>
      <c r="G1777" s="4" t="inlineStr">
        <is>
          <t xml:space="preserve"> • miera zväčšenia: 7,5x (26 dioptrií) 
 • priemer šošovky: Ø27 mm 
 • materiál šošovky: kvalitná šošovka 
 • snímač na kontrolu bankoviek: 1 ks UV LED 
 • osvetlenie: 1 ks LED 
 • napájanie: 2 x CR2016 batéria  (nie je príslušenstvo)</t>
        </is>
      </c>
    </row>
    <row r="1778">
      <c r="A1778" s="6" t="inlineStr">
        <is>
          <t xml:space="preserve">   Meranie, nástroje, spájkovanie / Pinzeta</t>
        </is>
      </c>
      <c r="B1778" s="6" t="inlineStr">
        <is>
          <t/>
        </is>
      </c>
      <c r="C1778" s="6" t="inlineStr">
        <is>
          <t/>
        </is>
      </c>
      <c r="D1778" s="6" t="inlineStr">
        <is>
          <t/>
        </is>
      </c>
      <c r="E1778" s="6" t="inlineStr">
        <is>
          <t/>
        </is>
      </c>
      <c r="F1778" s="6" t="inlineStr">
        <is>
          <t/>
        </is>
      </c>
      <c r="G1778" s="6" t="inlineStr">
        <is>
          <t/>
        </is>
      </c>
    </row>
    <row r="1779">
      <c r="A1779" s="3" t="inlineStr">
        <is>
          <t>908-T301</t>
        </is>
      </c>
      <c r="B1779" s="2" t="inlineStr">
        <is>
          <t xml:space="preserve">Pár pinziet pre elektrotechnikov </t>
        </is>
      </c>
      <c r="C1779" s="1" t="n">
        <v>4.09</v>
      </c>
      <c r="D1779" s="7" t="n">
        <f>HYPERLINK("https://www.somogyi.sk/product/par-pinziet-pre-elektrotechnikov-908-t301-4757","https://www.somogyi.sk/product/par-pinziet-pre-elektrotechnikov-908-t301-4757")</f>
        <v>0.0</v>
      </c>
      <c r="E1779" s="7" t="n">
        <f>HYPERLINK("https://www.somogyi.sk/productimages/product_main_images/small/04757.jpg","https://www.somogyi.sk/productimages/product_main_images/small/04757.jpg")</f>
        <v>0.0</v>
      </c>
      <c r="F1779" s="2" t="inlineStr">
        <is>
          <t>5998312742006</t>
        </is>
      </c>
      <c r="G1779" s="4" t="inlineStr">
        <is>
          <t xml:space="preserve"> • dĺžka: 150 mm 
 • úchytná plocha: drážkovaná</t>
        </is>
      </c>
    </row>
    <row r="1780">
      <c r="A1780" s="6" t="inlineStr">
        <is>
          <t xml:space="preserve">   Meranie, nástroje, spájkovanie / Káblová sťahovacia páska, káblová príchytka</t>
        </is>
      </c>
      <c r="B1780" s="6" t="inlineStr">
        <is>
          <t/>
        </is>
      </c>
      <c r="C1780" s="6" t="inlineStr">
        <is>
          <t/>
        </is>
      </c>
      <c r="D1780" s="6" t="inlineStr">
        <is>
          <t/>
        </is>
      </c>
      <c r="E1780" s="6" t="inlineStr">
        <is>
          <t/>
        </is>
      </c>
      <c r="F1780" s="6" t="inlineStr">
        <is>
          <t/>
        </is>
      </c>
      <c r="G1780" s="6" t="inlineStr">
        <is>
          <t/>
        </is>
      </c>
    </row>
    <row r="1781">
      <c r="A1781" s="3" t="inlineStr">
        <is>
          <t>CT 250/4,8/B</t>
        </is>
      </c>
      <c r="B1781" s="2" t="inlineStr">
        <is>
          <t>Káblová sťahovacia páska, 250 x 4,8 mm, čierna</t>
        </is>
      </c>
      <c r="C1781" s="1" t="n">
        <v>1.89</v>
      </c>
      <c r="D1781" s="7" t="n">
        <f>HYPERLINK("https://www.somogyi.sk/product/kablova-stahovacia-paska-250-x-4-8-mm-cierna-ct-250-4-8-b-13096","https://www.somogyi.sk/product/kablova-stahovacia-paska-250-x-4-8-mm-cierna-ct-250-4-8-b-13096")</f>
        <v>0.0</v>
      </c>
      <c r="E1781" s="7" t="n">
        <f>HYPERLINK("https://www.somogyi.sk/productimages/product_main_images/small/13096.jpg","https://www.somogyi.sk/productimages/product_main_images/small/13096.jpg")</f>
        <v>0.0</v>
      </c>
      <c r="F1781" s="2" t="inlineStr">
        <is>
          <t>5999084912772</t>
        </is>
      </c>
      <c r="G1781" s="4" t="inlineStr">
        <is>
          <t xml:space="preserve"> • dĺžka: 250 mm 
 • šírka: 4,8 mm 
 • farba: čierna 
 • balenie: 25 ks / balenie</t>
        </is>
      </c>
    </row>
    <row r="1782">
      <c r="A1782" s="3" t="inlineStr">
        <is>
          <t>CHR 5</t>
        </is>
      </c>
      <c r="B1782" s="2" t="inlineStr">
        <is>
          <t>Káblová príchytka s klincom, 5mm</t>
        </is>
      </c>
      <c r="C1782" s="1" t="n">
        <v>1.09</v>
      </c>
      <c r="D1782" s="7" t="n">
        <f>HYPERLINK("https://www.somogyi.sk/product/kablova-prichytka-s-klincom-5mm-chr-5-4129","https://www.somogyi.sk/product/kablova-prichytka-s-klincom-5mm-chr-5-4129")</f>
        <v>0.0</v>
      </c>
      <c r="E1782" s="7" t="n">
        <f>HYPERLINK("https://www.somogyi.sk/productimages/product_main_images/small/04129.jpg","https://www.somogyi.sk/productimages/product_main_images/small/04129.jpg")</f>
        <v>0.0</v>
      </c>
      <c r="F1782" s="2" t="inlineStr">
        <is>
          <t>5998312736760</t>
        </is>
      </c>
      <c r="G1782" s="4" t="inlineStr">
        <is>
          <t xml:space="preserve"> • priemer kábla: Ø5 mm 
 • balenie: 50 ks / balenie</t>
        </is>
      </c>
    </row>
    <row r="1783">
      <c r="A1783" s="3" t="inlineStr">
        <is>
          <t>CT 150/3,5/B</t>
        </is>
      </c>
      <c r="B1783" s="2" t="inlineStr">
        <is>
          <t>Káblová sťahovacia páska, 150x3,5mm, čierna</t>
        </is>
      </c>
      <c r="C1783" s="1" t="n">
        <v>1.69</v>
      </c>
      <c r="D1783" s="7" t="n">
        <f>HYPERLINK("https://www.somogyi.sk/product/kablova-stahovacia-paska-150x3-5mm-cierna-ct-150-3-5-b-13094","https://www.somogyi.sk/product/kablova-stahovacia-paska-150x3-5mm-cierna-ct-150-3-5-b-13094")</f>
        <v>0.0</v>
      </c>
      <c r="E1783" s="7" t="n">
        <f>HYPERLINK("https://www.somogyi.sk/productimages/product_main_images/small/13094.jpg","https://www.somogyi.sk/productimages/product_main_images/small/13094.jpg")</f>
        <v>0.0</v>
      </c>
      <c r="F1783" s="2" t="inlineStr">
        <is>
          <t>5999084912758</t>
        </is>
      </c>
      <c r="G1783" s="4" t="inlineStr">
        <is>
          <t xml:space="preserve"> • dĺžka: 150 mm 
 • šírka: 3,5 mm 
 • farba: čierna 
 • balenie: 50 ks / balenie</t>
        </is>
      </c>
    </row>
    <row r="1784">
      <c r="A1784" s="3" t="inlineStr">
        <is>
          <t>CT 400/4,8</t>
        </is>
      </c>
      <c r="B1784" s="2" t="inlineStr">
        <is>
          <t>Káblová sťahovacia páska, 400x4,8mm</t>
        </is>
      </c>
      <c r="C1784" s="1" t="n">
        <v>3.09</v>
      </c>
      <c r="D1784" s="7" t="n">
        <f>HYPERLINK("https://www.somogyi.sk/product/kablova-stahovacia-paska-400x4-8mm-ct-400-4-8-13090","https://www.somogyi.sk/product/kablova-stahovacia-paska-400x4-8mm-ct-400-4-8-13090")</f>
        <v>0.0</v>
      </c>
      <c r="E1784" s="7" t="n">
        <f>HYPERLINK("https://www.somogyi.sk/productimages/product_main_images/small/13090.jpg","https://www.somogyi.sk/productimages/product_main_images/small/13090.jpg")</f>
        <v>0.0</v>
      </c>
      <c r="F1784" s="2" t="inlineStr">
        <is>
          <t>5999084912710</t>
        </is>
      </c>
      <c r="G1784" s="4" t="inlineStr">
        <is>
          <t xml:space="preserve"> • dĺžka: 400 mm 
 • šírka: 4,8 mm 
 • farba: transparentná 
 • balenie: 25 ks / balenie</t>
        </is>
      </c>
    </row>
    <row r="1785">
      <c r="A1785" s="3" t="inlineStr">
        <is>
          <t>CT 100/2,5/B</t>
        </is>
      </c>
      <c r="B1785" s="2" t="inlineStr">
        <is>
          <t>Káblová sťahovacia páska,  100 x 2,5 mm, čierna</t>
        </is>
      </c>
      <c r="C1785" s="1" t="n">
        <v>0.85</v>
      </c>
      <c r="D1785" s="7" t="n">
        <f>HYPERLINK("https://www.somogyi.sk/product/kablova-stahovacia-paska-100-x-2-5-mm-cierna-ct-100-2-5-b-13092","https://www.somogyi.sk/product/kablova-stahovacia-paska-100-x-2-5-mm-cierna-ct-100-2-5-b-13092")</f>
        <v>0.0</v>
      </c>
      <c r="E1785" s="7" t="n">
        <f>HYPERLINK("https://www.somogyi.sk/productimages/product_main_images/small/13092.jpg","https://www.somogyi.sk/productimages/product_main_images/small/13092.jpg")</f>
        <v>0.0</v>
      </c>
      <c r="F1785" s="2" t="inlineStr">
        <is>
          <t>5999084912734</t>
        </is>
      </c>
      <c r="G1785" s="4" t="inlineStr">
        <is>
          <t xml:space="preserve"> • dĺžka: 100 mm 
 • šírka: 2,5 mm 
 • farba: čierna 
 • balenie: 50 ks / balenie</t>
        </is>
      </c>
    </row>
    <row r="1786">
      <c r="A1786" s="3" t="inlineStr">
        <is>
          <t>CT 300/4,8/B</t>
        </is>
      </c>
      <c r="B1786" s="2" t="inlineStr">
        <is>
          <t>Káblová sťahovacia páska, 300 x 4,8 mm, čierna</t>
        </is>
      </c>
      <c r="C1786" s="1" t="n">
        <v>2.19</v>
      </c>
      <c r="D1786" s="7" t="n">
        <f>HYPERLINK("https://www.somogyi.sk/product/kablova-stahovacia-paska-300-x-4-8-mm-cierna-ct-300-4-8-b-13098","https://www.somogyi.sk/product/kablova-stahovacia-paska-300-x-4-8-mm-cierna-ct-300-4-8-b-13098")</f>
        <v>0.0</v>
      </c>
      <c r="E1786" s="7" t="n">
        <f>HYPERLINK("https://www.somogyi.sk/productimages/product_main_images/small/13098.jpg","https://www.somogyi.sk/productimages/product_main_images/small/13098.jpg")</f>
        <v>0.0</v>
      </c>
      <c r="F1786" s="2" t="inlineStr">
        <is>
          <t>5999084912796</t>
        </is>
      </c>
      <c r="G1786" s="4" t="inlineStr">
        <is>
          <t xml:space="preserve"> • dĺžka: 300 mm 
 • šírka: 4,8 mm 
 • farba: čierna 
 • balenie: 25 ks / balenie</t>
        </is>
      </c>
    </row>
    <row r="1787">
      <c r="A1787" s="3" t="inlineStr">
        <is>
          <t>CT 400/4,8/B</t>
        </is>
      </c>
      <c r="B1787" s="2" t="inlineStr">
        <is>
          <t>Káblová sťahovacia páska, 400x4,8mm, čierna</t>
        </is>
      </c>
      <c r="C1787" s="1" t="n">
        <v>3.09</v>
      </c>
      <c r="D1787" s="7" t="n">
        <f>HYPERLINK("https://www.somogyi.sk/product/kablova-stahovacia-paska-400x4-8mm-cierna-ct-400-4-8-b-13099","https://www.somogyi.sk/product/kablova-stahovacia-paska-400x4-8mm-cierna-ct-400-4-8-b-13099")</f>
        <v>0.0</v>
      </c>
      <c r="E1787" s="7" t="n">
        <f>HYPERLINK("https://www.somogyi.sk/productimages/product_main_images/small/13099.jpg","https://www.somogyi.sk/productimages/product_main_images/small/13099.jpg")</f>
        <v>0.0</v>
      </c>
      <c r="F1787" s="2" t="inlineStr">
        <is>
          <t>5999084912802</t>
        </is>
      </c>
      <c r="G1787" s="4" t="inlineStr">
        <is>
          <t xml:space="preserve"> • dĺžka: 400 mm 
 • šírka: 4,8 mm 
 • farba: čierna 
 • balenie: 25 ks / balenie</t>
        </is>
      </c>
    </row>
    <row r="1788">
      <c r="A1788" s="3" t="inlineStr">
        <is>
          <t>CHR 6</t>
        </is>
      </c>
      <c r="B1788" s="2" t="inlineStr">
        <is>
          <t>Káblová príchytka s klincom, 6mm</t>
        </is>
      </c>
      <c r="C1788" s="1" t="n">
        <v>1.15</v>
      </c>
      <c r="D1788" s="7" t="n">
        <f>HYPERLINK("https://www.somogyi.sk/product/kablova-prichytka-s-klincom-6mm-chr-6-4130","https://www.somogyi.sk/product/kablova-prichytka-s-klincom-6mm-chr-6-4130")</f>
        <v>0.0</v>
      </c>
      <c r="E1788" s="7" t="n">
        <f>HYPERLINK("https://www.somogyi.sk/productimages/product_main_images/small/04130.jpg","https://www.somogyi.sk/productimages/product_main_images/small/04130.jpg")</f>
        <v>0.0</v>
      </c>
      <c r="F1788" s="2" t="inlineStr">
        <is>
          <t>5998312736777</t>
        </is>
      </c>
      <c r="G1788" s="4" t="inlineStr">
        <is>
          <t xml:space="preserve"> • priemer kábla: Ø6 mm 
 • balenie: 50 ks / balenie</t>
        </is>
      </c>
    </row>
    <row r="1789">
      <c r="A1789" s="3" t="inlineStr">
        <is>
          <t>CHR 7</t>
        </is>
      </c>
      <c r="B1789" s="2" t="inlineStr">
        <is>
          <t>Káblová príchytka s klincom, 7mm</t>
        </is>
      </c>
      <c r="C1789" s="1" t="n">
        <v>1.15</v>
      </c>
      <c r="D1789" s="7" t="n">
        <f>HYPERLINK("https://www.somogyi.sk/product/kablova-prichytka-s-klincom-7mm-chr-7-4131","https://www.somogyi.sk/product/kablova-prichytka-s-klincom-7mm-chr-7-4131")</f>
        <v>0.0</v>
      </c>
      <c r="E1789" s="7" t="n">
        <f>HYPERLINK("https://www.somogyi.sk/productimages/product_main_images/small/04131.jpg","https://www.somogyi.sk/productimages/product_main_images/small/04131.jpg")</f>
        <v>0.0</v>
      </c>
      <c r="F1789" s="2" t="inlineStr">
        <is>
          <t>5998312736784</t>
        </is>
      </c>
      <c r="G1789" s="4" t="inlineStr">
        <is>
          <t xml:space="preserve"> • priemer kábla: Ø7 mm 
 • balenie: 50 ks / balenie</t>
        </is>
      </c>
    </row>
    <row r="1790">
      <c r="A1790" s="3" t="inlineStr">
        <is>
          <t>CHR 8</t>
        </is>
      </c>
      <c r="B1790" s="2" t="inlineStr">
        <is>
          <t>Káblová príchytka s klincom, 8mm</t>
        </is>
      </c>
      <c r="C1790" s="1" t="n">
        <v>1.39</v>
      </c>
      <c r="D1790" s="7" t="n">
        <f>HYPERLINK("https://www.somogyi.sk/product/kablova-prichytka-s-klincom-8mm-chr-8-4143","https://www.somogyi.sk/product/kablova-prichytka-s-klincom-8mm-chr-8-4143")</f>
        <v>0.0</v>
      </c>
      <c r="E1790" s="7" t="n">
        <f>HYPERLINK("https://www.somogyi.sk/productimages/product_main_images/small/04143.jpg","https://www.somogyi.sk/productimages/product_main_images/small/04143.jpg")</f>
        <v>0.0</v>
      </c>
      <c r="F1790" s="2" t="inlineStr">
        <is>
          <t>5998312737088</t>
        </is>
      </c>
      <c r="G1790" s="4" t="inlineStr">
        <is>
          <t xml:space="preserve"> • priemer kábla: Ø8 mm 
 • balenie: 50 ks / balenie</t>
        </is>
      </c>
    </row>
    <row r="1791">
      <c r="A1791" s="3" t="inlineStr">
        <is>
          <t>CTS BK</t>
        </is>
      </c>
      <c r="B1791" s="2" t="inlineStr">
        <is>
          <t>Sada káblových sťahovacích pások, čierna, 120 ks</t>
        </is>
      </c>
      <c r="C1791" s="1" t="n">
        <v>4.19</v>
      </c>
      <c r="D1791" s="7" t="n">
        <f>HYPERLINK("https://www.somogyi.sk/product/sada-kablovych-stahovacich-pasok-cierna-120-ks-cts-bk-17373","https://www.somogyi.sk/product/sada-kablovych-stahovacich-pasok-cierna-120-ks-cts-bk-17373")</f>
        <v>0.0</v>
      </c>
      <c r="E1791" s="7" t="n">
        <f>HYPERLINK("https://www.somogyi.sk/productimages/product_main_images/small/17373.jpg","https://www.somogyi.sk/productimages/product_main_images/small/17373.jpg")</f>
        <v>0.0</v>
      </c>
      <c r="F1791" s="2" t="inlineStr">
        <is>
          <t>5999084953959</t>
        </is>
      </c>
      <c r="G1791" s="4" t="inlineStr">
        <is>
          <t xml:space="preserve"> • dĺžka: 250 mm / 200 mm / 150 mm / 100 mm 
 • šírka: 3,6 mm / 2,5 mm / 2,0 mm / 1,9 mm 
 • farba: čierna 
 • balenie: 4 x 30 ks</t>
        </is>
      </c>
    </row>
    <row r="1792">
      <c r="A1792" s="3" t="inlineStr">
        <is>
          <t>CT SET</t>
        </is>
      </c>
      <c r="B1792" s="2" t="inlineStr">
        <is>
          <t>Sada káblových sťahovacích pások, 100 ks</t>
        </is>
      </c>
      <c r="C1792" s="1" t="n">
        <v>2.99</v>
      </c>
      <c r="D1792" s="7" t="n">
        <f>HYPERLINK("https://www.somogyi.sk/product/sada-kablovych-stahovacich-pasok-100-ks-ct-set-15421","https://www.somogyi.sk/product/sada-kablovych-stahovacich-pasok-100-ks-ct-set-15421")</f>
        <v>0.0</v>
      </c>
      <c r="E1792" s="7" t="n">
        <f>HYPERLINK("https://www.somogyi.sk/productimages/product_main_images/small/15421.jpg","https://www.somogyi.sk/productimages/product_main_images/small/15421.jpg")</f>
        <v>0.0</v>
      </c>
      <c r="F1792" s="2" t="inlineStr">
        <is>
          <t>5999084934552</t>
        </is>
      </c>
      <c r="G1792" s="4" t="inlineStr">
        <is>
          <t xml:space="preserve"> • dĺžka: 100 / 150 / 200 / 250 
 • šírka: 1,9 / 2,0 / 2,5 / 3,6 
 • farba: čierna / zelená / žltá / červená 
 • balenie: 4 x 25 ks</t>
        </is>
      </c>
    </row>
    <row r="1793">
      <c r="A1793" s="3" t="inlineStr">
        <is>
          <t>CT 250/4,8</t>
        </is>
      </c>
      <c r="B1793" s="2" t="inlineStr">
        <is>
          <t>Káblová sťahovacia páska, 250 x 4,8 mm</t>
        </is>
      </c>
      <c r="C1793" s="1" t="n">
        <v>1.89</v>
      </c>
      <c r="D1793" s="7" t="n">
        <f>HYPERLINK("https://www.somogyi.sk/product/kablova-stahovacia-paska-250-x-4-8-mm-ct-250-4-8-13088","https://www.somogyi.sk/product/kablova-stahovacia-paska-250-x-4-8-mm-ct-250-4-8-13088")</f>
        <v>0.0</v>
      </c>
      <c r="E1793" s="7" t="n">
        <f>HYPERLINK("https://www.somogyi.sk/productimages/product_main_images/small/13088.jpg","https://www.somogyi.sk/productimages/product_main_images/small/13088.jpg")</f>
        <v>0.0</v>
      </c>
      <c r="F1793" s="2" t="inlineStr">
        <is>
          <t>5999084912697</t>
        </is>
      </c>
      <c r="G1793" s="4" t="inlineStr">
        <is>
          <t xml:space="preserve"> • dĺžka: 250 mm 
 • šírka: 4,8 mm 
 • farba: transparentná 
 • balenie: 25 ks / balenie</t>
        </is>
      </c>
    </row>
    <row r="1794">
      <c r="A1794" s="3" t="inlineStr">
        <is>
          <t>CT 200/3,5</t>
        </is>
      </c>
      <c r="B1794" s="2" t="inlineStr">
        <is>
          <t>Káblová sťahovacia páska, 200x3,5mm</t>
        </is>
      </c>
      <c r="C1794" s="1" t="n">
        <v>2.09</v>
      </c>
      <c r="D1794" s="7" t="n">
        <f>HYPERLINK("https://www.somogyi.sk/product/kablova-stahovacia-paska-200x3-5mm-ct-200-3-5-13087","https://www.somogyi.sk/product/kablova-stahovacia-paska-200x3-5mm-ct-200-3-5-13087")</f>
        <v>0.0</v>
      </c>
      <c r="E1794" s="7" t="n">
        <f>HYPERLINK("https://www.somogyi.sk/productimages/product_main_images/small/13087.jpg","https://www.somogyi.sk/productimages/product_main_images/small/13087.jpg")</f>
        <v>0.0</v>
      </c>
      <c r="F1794" s="2" t="inlineStr">
        <is>
          <t>5999084912680</t>
        </is>
      </c>
      <c r="G1794" s="4" t="inlineStr">
        <is>
          <t xml:space="preserve"> • dĺžka: 200 mm 
 • šírka: 3,5 mm 
 • farba: transparentná 
 • balenie: 50 ks / balenie</t>
        </is>
      </c>
    </row>
    <row r="1795">
      <c r="A1795" s="3" t="inlineStr">
        <is>
          <t>CT 150/3,5</t>
        </is>
      </c>
      <c r="B1795" s="2" t="inlineStr">
        <is>
          <t>Káblová sťahovacia páska, 150x3,5mm</t>
        </is>
      </c>
      <c r="C1795" s="1" t="n">
        <v>1.69</v>
      </c>
      <c r="D1795" s="7" t="n">
        <f>HYPERLINK("https://www.somogyi.sk/product/kablova-stahovacia-paska-150x3-5mm-ct-150-3-5-13086","https://www.somogyi.sk/product/kablova-stahovacia-paska-150x3-5mm-ct-150-3-5-13086")</f>
        <v>0.0</v>
      </c>
      <c r="E1795" s="7" t="n">
        <f>HYPERLINK("https://www.somogyi.sk/productimages/product_main_images/small/13086.jpg","https://www.somogyi.sk/productimages/product_main_images/small/13086.jpg")</f>
        <v>0.0</v>
      </c>
      <c r="F1795" s="2" t="inlineStr">
        <is>
          <t>5999084912673</t>
        </is>
      </c>
      <c r="G1795" s="4" t="inlineStr">
        <is>
          <t xml:space="preserve"> • dĺžka: 150 mm 
 • šírka: 3,5 mm 
 • farba: transparentná 
 • balenie: 50 ks / balenie</t>
        </is>
      </c>
    </row>
    <row r="1796">
      <c r="A1796" s="3" t="inlineStr">
        <is>
          <t>CT 100/2,5</t>
        </is>
      </c>
      <c r="B1796" s="2" t="inlineStr">
        <is>
          <t>Káblová sťahovacia páska,  100 x 2,5 mm</t>
        </is>
      </c>
      <c r="C1796" s="1" t="n">
        <v>0.85</v>
      </c>
      <c r="D1796" s="7" t="n">
        <f>HYPERLINK("https://www.somogyi.sk/product/kablova-stahovacia-paska-100-x-2-5-mm-ct-100-2-5-13083","https://www.somogyi.sk/product/kablova-stahovacia-paska-100-x-2-5-mm-ct-100-2-5-13083")</f>
        <v>0.0</v>
      </c>
      <c r="E1796" s="7" t="n">
        <f>HYPERLINK("https://www.somogyi.sk/productimages/product_main_images/small/13083.jpg","https://www.somogyi.sk/productimages/product_main_images/small/13083.jpg")</f>
        <v>0.0</v>
      </c>
      <c r="F1796" s="2" t="inlineStr">
        <is>
          <t>5999084912642</t>
        </is>
      </c>
      <c r="G1796" s="4" t="inlineStr">
        <is>
          <t xml:space="preserve"> • dĺžka: 100 mm 
 • šírka: 2,5 mm 
 • farba: transparentná 
 • balenie: 50 ks / balenie</t>
        </is>
      </c>
    </row>
    <row r="1797">
      <c r="A1797" s="3" t="inlineStr">
        <is>
          <t>CT 300/4,8</t>
        </is>
      </c>
      <c r="B1797" s="2" t="inlineStr">
        <is>
          <t>Káblová sťahovacia páska, 300x4,8mm</t>
        </is>
      </c>
      <c r="C1797" s="1" t="n">
        <v>2.19</v>
      </c>
      <c r="D1797" s="7" t="n">
        <f>HYPERLINK("https://www.somogyi.sk/product/kablova-stahovacia-paska-300x4-8mm-ct-300-4-8-13089","https://www.somogyi.sk/product/kablova-stahovacia-paska-300x4-8mm-ct-300-4-8-13089")</f>
        <v>0.0</v>
      </c>
      <c r="E1797" s="7" t="n">
        <f>HYPERLINK("https://www.somogyi.sk/productimages/product_main_images/small/13089.jpg","https://www.somogyi.sk/productimages/product_main_images/small/13089.jpg")</f>
        <v>0.0</v>
      </c>
      <c r="F1797" s="2" t="inlineStr">
        <is>
          <t>5999084912703</t>
        </is>
      </c>
      <c r="G1797" s="4" t="inlineStr">
        <is>
          <t xml:space="preserve"> • dĺžka: 300 mm 
 • šírka: 4,8 mm 
 • farba: transparentná 
 • balenie: 25 ks / balenie</t>
        </is>
      </c>
    </row>
    <row r="1798">
      <c r="A1798" s="3" t="inlineStr">
        <is>
          <t>CTT 28WH</t>
        </is>
      </c>
      <c r="B1798" s="2" t="inlineStr">
        <is>
          <t>Držiak sťahovacieho pásika, biela</t>
        </is>
      </c>
      <c r="C1798" s="1" t="n">
        <v>5.59</v>
      </c>
      <c r="D1798" s="7" t="n">
        <f>HYPERLINK("https://www.somogyi.sk/product/drziak-stahovacieho-pasika-biela-ctt-28wh-16635","https://www.somogyi.sk/product/drziak-stahovacieho-pasika-biela-ctt-28wh-16635")</f>
        <v>0.0</v>
      </c>
      <c r="E1798" s="7" t="n">
        <f>HYPERLINK("https://www.somogyi.sk/productimages/product_main_images/small/16635.jpg","https://www.somogyi.sk/productimages/product_main_images/small/16635.jpg")</f>
        <v>0.0</v>
      </c>
      <c r="F1798" s="2" t="inlineStr">
        <is>
          <t>5999084946678</t>
        </is>
      </c>
      <c r="G1798" s="4" t="inlineStr">
        <is>
          <t xml:space="preserve"> • dĺžka: 28 mm 
 • šírka: 28 mm 
 • farba: biela farba 
 • balenie: 50 ks / balenie</t>
        </is>
      </c>
    </row>
    <row r="1799">
      <c r="A1799" s="3" t="inlineStr">
        <is>
          <t>CTT 28BK</t>
        </is>
      </c>
      <c r="B1799" s="2" t="inlineStr">
        <is>
          <t>Držiak sťahovacieho pásika, čierna</t>
        </is>
      </c>
      <c r="C1799" s="1" t="n">
        <v>5.59</v>
      </c>
      <c r="D1799" s="7" t="n">
        <f>HYPERLINK("https://www.somogyi.sk/product/drziak-stahovacieho-pasika-cierna-ctt-28bk-16634","https://www.somogyi.sk/product/drziak-stahovacieho-pasika-cierna-ctt-28bk-16634")</f>
        <v>0.0</v>
      </c>
      <c r="E1799" s="7" t="n">
        <f>HYPERLINK("https://www.somogyi.sk/productimages/product_main_images/small/16634.jpg","https://www.somogyi.sk/productimages/product_main_images/small/16634.jpg")</f>
        <v>0.0</v>
      </c>
      <c r="F1799" s="2" t="inlineStr">
        <is>
          <t>5999084946661</t>
        </is>
      </c>
      <c r="G1799" s="4" t="inlineStr">
        <is>
          <t xml:space="preserve"> • dĺžka: 28 mm 
 • šírka: 28 mm 
 • farba: čierna farba 
 • balenie: 50 ks / balenie</t>
        </is>
      </c>
    </row>
    <row r="1800">
      <c r="A1800" s="3" t="inlineStr">
        <is>
          <t>CT 200/3,5/B</t>
        </is>
      </c>
      <c r="B1800" s="2" t="inlineStr">
        <is>
          <t>Káblová sťahovacia páska, 200 x 3,5 mm, čierna</t>
        </is>
      </c>
      <c r="C1800" s="1" t="n">
        <v>2.09</v>
      </c>
      <c r="D1800" s="7" t="n">
        <f>HYPERLINK("https://www.somogyi.sk/product/kablova-stahovacia-paska-200-x-3-5-mm-cierna-ct-200-3-5-b-13095","https://www.somogyi.sk/product/kablova-stahovacia-paska-200-x-3-5-mm-cierna-ct-200-3-5-b-13095")</f>
        <v>0.0</v>
      </c>
      <c r="E1800" s="7" t="n">
        <f>HYPERLINK("https://www.somogyi.sk/productimages/product_main_images/small/13095.jpg","https://www.somogyi.sk/productimages/product_main_images/small/13095.jpg")</f>
        <v>0.0</v>
      </c>
      <c r="F1800" s="2" t="inlineStr">
        <is>
          <t>5999084912765</t>
        </is>
      </c>
      <c r="G1800" s="4" t="inlineStr">
        <is>
          <t xml:space="preserve"> • dĺžka: 200 mm 
 • šírka: 3,5 mm 
 • farba: čierna 
 • balenie: 50 ks / balenie</t>
        </is>
      </c>
    </row>
    <row r="1801">
      <c r="A1801" s="6" t="inlineStr">
        <is>
          <t xml:space="preserve">   Meranie, nástroje, spájkovanie / Zmršťovacia trubička</t>
        </is>
      </c>
      <c r="B1801" s="6" t="inlineStr">
        <is>
          <t/>
        </is>
      </c>
      <c r="C1801" s="6" t="inlineStr">
        <is>
          <t/>
        </is>
      </c>
      <c r="D1801" s="6" t="inlineStr">
        <is>
          <t/>
        </is>
      </c>
      <c r="E1801" s="6" t="inlineStr">
        <is>
          <t/>
        </is>
      </c>
      <c r="F1801" s="6" t="inlineStr">
        <is>
          <t/>
        </is>
      </c>
      <c r="G1801" s="6" t="inlineStr">
        <is>
          <t/>
        </is>
      </c>
    </row>
    <row r="1802">
      <c r="A1802" s="3" t="inlineStr">
        <is>
          <t>DRS 10-5/BK</t>
        </is>
      </c>
      <c r="B1802" s="2" t="inlineStr">
        <is>
          <t>Zmršťovacia trubička, 10/5 mm, čierna, 1 m</t>
        </is>
      </c>
      <c r="C1802" s="1" t="n">
        <v>1.79</v>
      </c>
      <c r="D1802" s="7" t="n">
        <f>HYPERLINK("https://www.somogyi.sk/product/zmrstovacia-trubicka-10-5-mm-cierna-1-m-drs-10-5-bk-4980","https://www.somogyi.sk/product/zmrstovacia-trubicka-10-5-mm-cierna-1-m-drs-10-5-bk-4980")</f>
        <v>0.0</v>
      </c>
      <c r="E1802" s="7" t="n">
        <f>HYPERLINK("https://www.somogyi.sk/productimages/product_main_images/small/04980.jpg","https://www.somogyi.sk/productimages/product_main_images/small/04980.jpg")</f>
        <v>0.0</v>
      </c>
      <c r="F1802" s="2" t="inlineStr">
        <is>
          <t>5998312744024</t>
        </is>
      </c>
      <c r="G1802" s="4" t="inlineStr">
        <is>
          <t xml:space="preserve"> • dĺžka: 1 m 
 • priemer: 10 mm 
 • priemer po zmrštení: 5 mm 
 • farba: čierna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03">
      <c r="A1803" s="3" t="inlineStr">
        <is>
          <t>DRS 4-2/RD</t>
        </is>
      </c>
      <c r="B1803" s="2" t="inlineStr">
        <is>
          <t>Zmršťovacia trubička, 4/2 mm, červená, 1m</t>
        </is>
      </c>
      <c r="C1803" s="1" t="n">
        <v>1.05</v>
      </c>
      <c r="D1803" s="7" t="n">
        <f>HYPERLINK("https://www.somogyi.sk/product/zmrstovacia-trubicka-4-2-mm-cervena-1m-drs-4-2-rd-4971","https://www.somogyi.sk/product/zmrstovacia-trubicka-4-2-mm-cervena-1m-drs-4-2-rd-4971")</f>
        <v>0.0</v>
      </c>
      <c r="E1803" s="7" t="n">
        <f>HYPERLINK("https://www.somogyi.sk/productimages/product_main_images/small/04971.jpg","https://www.somogyi.sk/productimages/product_main_images/small/04971.jpg")</f>
        <v>0.0</v>
      </c>
      <c r="F1803" s="2" t="inlineStr">
        <is>
          <t>5998312743935</t>
        </is>
      </c>
      <c r="G1803" s="4" t="inlineStr">
        <is>
          <t xml:space="preserve"> • dĺžka: 1 m 
 • priemer: 4 mm 
 • priemer po zmrštení: 2 mm 
 • farba: červená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04">
      <c r="A1804" s="3" t="inlineStr">
        <is>
          <t>DRS 4-2/WH</t>
        </is>
      </c>
      <c r="B1804" s="2" t="inlineStr">
        <is>
          <t>Zmršťovacia trubička, 4/2 mm, biela, 1 m</t>
        </is>
      </c>
      <c r="C1804" s="1" t="n">
        <v>1.05</v>
      </c>
      <c r="D1804" s="7" t="n">
        <f>HYPERLINK("https://www.somogyi.sk/product/zmrstovacia-trubicka-4-2-mm-biela-1-m-drs-4-2-wh-4969","https://www.somogyi.sk/product/zmrstovacia-trubicka-4-2-mm-biela-1-m-drs-4-2-wh-4969")</f>
        <v>0.0</v>
      </c>
      <c r="E1804" s="7" t="n">
        <f>HYPERLINK("https://www.somogyi.sk/productimages/product_main_images/small/04969.jpg","https://www.somogyi.sk/productimages/product_main_images/small/04969.jpg")</f>
        <v>0.0</v>
      </c>
      <c r="F1804" s="2" t="inlineStr">
        <is>
          <t>5998312743911</t>
        </is>
      </c>
      <c r="G1804" s="4" t="inlineStr">
        <is>
          <t xml:space="preserve"> • dĺžka: 1 m 
 • priemer: 4 mm 
 • priemer po zmrštení: 2 mm 
 • farba: biela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05">
      <c r="A1805" s="3" t="inlineStr">
        <is>
          <t>DRS 2-1/BK</t>
        </is>
      </c>
      <c r="B1805" s="2" t="inlineStr">
        <is>
          <t>Zmršťovacia trubička, 2/1 mm, čierna, 1m</t>
        </is>
      </c>
      <c r="C1805" s="1" t="n">
        <v>0.75</v>
      </c>
      <c r="D1805" s="7" t="n">
        <f>HYPERLINK("https://www.somogyi.sk/product/zmrstovacia-trubicka-2-1-mm-cierna-1m-drs-2-1-bk-4965","https://www.somogyi.sk/product/zmrstovacia-trubicka-2-1-mm-cierna-1m-drs-2-1-bk-4965")</f>
        <v>0.0</v>
      </c>
      <c r="E1805" s="7" t="n">
        <f>HYPERLINK("https://www.somogyi.sk/productimages/product_main_images/small/04965.jpg","https://www.somogyi.sk/productimages/product_main_images/small/04965.jpg")</f>
        <v>0.0</v>
      </c>
      <c r="F1805" s="2" t="inlineStr">
        <is>
          <t>5998312743874</t>
        </is>
      </c>
      <c r="G1805" s="4" t="inlineStr">
        <is>
          <t xml:space="preserve"> • dĺžka: 1 m 
 • priemer: 2 mm 
 • priemer po zmrštení: 1 mm 
 • farba: čierna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06">
      <c r="A1806" s="3" t="inlineStr">
        <is>
          <t>DRS 4-2/BK</t>
        </is>
      </c>
      <c r="B1806" s="2" t="inlineStr">
        <is>
          <t>Zmršťovacia trubička, 4/2mm, čierna, 1m</t>
        </is>
      </c>
      <c r="C1806" s="1" t="n">
        <v>1.05</v>
      </c>
      <c r="D1806" s="7" t="n">
        <f>HYPERLINK("https://www.somogyi.sk/product/zmrstovacia-trubicka-4-2mm-cierna-1m-drs-4-2-bk-4973","https://www.somogyi.sk/product/zmrstovacia-trubicka-4-2mm-cierna-1m-drs-4-2-bk-4973")</f>
        <v>0.0</v>
      </c>
      <c r="E1806" s="7" t="n">
        <f>HYPERLINK("https://www.somogyi.sk/productimages/product_main_images/small/04973.jpg","https://www.somogyi.sk/productimages/product_main_images/small/04973.jpg")</f>
        <v>0.0</v>
      </c>
      <c r="F1806" s="2" t="inlineStr">
        <is>
          <t>5998312743959</t>
        </is>
      </c>
      <c r="G1806" s="4" t="inlineStr">
        <is>
          <t xml:space="preserve"> • dĺžka: 1 m 
 • priemer: 4 mm 
 • priemer po zmrštení: 2 mm 
 • farba: čierna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07">
      <c r="A1807" s="3" t="inlineStr">
        <is>
          <t>DRS 6-3/BK</t>
        </is>
      </c>
      <c r="B1807" s="2" t="inlineStr">
        <is>
          <t>Zmršťovacia trubička, 6/3 mm, čierna, 1 m</t>
        </is>
      </c>
      <c r="C1807" s="1" t="n">
        <v>1.35</v>
      </c>
      <c r="D1807" s="7" t="n">
        <f>HYPERLINK("https://www.somogyi.sk/product/zmrstovacia-trubicka-6-3-mm-cierna-1-m-drs-6-3-bk-4974","https://www.somogyi.sk/product/zmrstovacia-trubicka-6-3-mm-cierna-1-m-drs-6-3-bk-4974")</f>
        <v>0.0</v>
      </c>
      <c r="E1807" s="7" t="n">
        <f>HYPERLINK("https://www.somogyi.sk/productimages/product_main_images/small/04974.jpg","https://www.somogyi.sk/productimages/product_main_images/small/04974.jpg")</f>
        <v>0.0</v>
      </c>
      <c r="F1807" s="2" t="inlineStr">
        <is>
          <t>5998312743966</t>
        </is>
      </c>
      <c r="G1807" s="4" t="inlineStr">
        <is>
          <t xml:space="preserve"> • dĺžka: 1 m 
 • priemer: 6 mm 
 • priemer po zmrštení: 3 mm 
 • farba: čierna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08">
      <c r="A1808" s="3" t="inlineStr">
        <is>
          <t>DRS 15-7.5/BK</t>
        </is>
      </c>
      <c r="B1808" s="2" t="inlineStr">
        <is>
          <t>Zmršťovacia trubička, 15/7,5 mm, čierna, 1m</t>
        </is>
      </c>
      <c r="C1808" s="1" t="n">
        <v>2.19</v>
      </c>
      <c r="D1808" s="7" t="n">
        <f>HYPERLINK("https://www.somogyi.sk/product/zmrstovacia-trubicka-15-7-5-mm-cierna-1m-drs-15-7-5-bk-4984","https://www.somogyi.sk/product/zmrstovacia-trubicka-15-7-5-mm-cierna-1m-drs-15-7-5-bk-4984")</f>
        <v>0.0</v>
      </c>
      <c r="E1808" s="7" t="n">
        <f>HYPERLINK("https://www.somogyi.sk/productimages/product_main_images/small/04984.jpg","https://www.somogyi.sk/productimages/product_main_images/small/04984.jpg")</f>
        <v>0.0</v>
      </c>
      <c r="F1808" s="2" t="inlineStr">
        <is>
          <t>5998312744062</t>
        </is>
      </c>
      <c r="G1808" s="4" t="inlineStr">
        <is>
          <t xml:space="preserve"> • dĺžka: 1 m 
 • priemer: 15 mm 
 • priemer po zmrštení: 7,5 mm 
 • farba: čierna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09">
      <c r="A1809" s="3" t="inlineStr">
        <is>
          <t>DRS 6-3/WH</t>
        </is>
      </c>
      <c r="B1809" s="2" t="inlineStr">
        <is>
          <t>Zmršťovacia trubička, 6/3mm, biela, 1 m</t>
        </is>
      </c>
      <c r="C1809" s="1" t="n">
        <v>1.35</v>
      </c>
      <c r="D1809" s="7" t="n">
        <f>HYPERLINK("https://www.somogyi.sk/product/zmrstovacia-trubicka-6-3mm-biela-1-m-drs-6-3-wh-4975","https://www.somogyi.sk/product/zmrstovacia-trubicka-6-3mm-biela-1-m-drs-6-3-wh-4975")</f>
        <v>0.0</v>
      </c>
      <c r="E1809" s="7" t="n">
        <f>HYPERLINK("https://www.somogyi.sk/productimages/product_main_images/small/04975.jpg","https://www.somogyi.sk/productimages/product_main_images/small/04975.jpg")</f>
        <v>0.0</v>
      </c>
      <c r="F1809" s="2" t="inlineStr">
        <is>
          <t>5998312743973</t>
        </is>
      </c>
      <c r="G1809" s="4" t="inlineStr">
        <is>
          <t xml:space="preserve"> • dĺžka: 1 m 
 • priemer: 6 mm 
 • priemer po zmrštení: 3 mm 
 • farba: biela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10">
      <c r="A1810" s="3" t="inlineStr">
        <is>
          <t>DRS 6-3/RD</t>
        </is>
      </c>
      <c r="B1810" s="2" t="inlineStr">
        <is>
          <t>Zmršťovacia trubička, 6/3 mm, červená, 1 m</t>
        </is>
      </c>
      <c r="C1810" s="1" t="n">
        <v>1.35</v>
      </c>
      <c r="D1810" s="7" t="n">
        <f>HYPERLINK("https://www.somogyi.sk/product/zmrstovacia-trubicka-6-3-mm-cervena-1-m-drs-6-3-rd-4977","https://www.somogyi.sk/product/zmrstovacia-trubicka-6-3-mm-cervena-1-m-drs-6-3-rd-4977")</f>
        <v>0.0</v>
      </c>
      <c r="E1810" s="7" t="n">
        <f>HYPERLINK("https://www.somogyi.sk/productimages/product_main_images/small/04977.jpg","https://www.somogyi.sk/productimages/product_main_images/small/04977.jpg")</f>
        <v>0.0</v>
      </c>
      <c r="F1810" s="2" t="inlineStr">
        <is>
          <t>5998312743997</t>
        </is>
      </c>
      <c r="G1810" s="4" t="inlineStr">
        <is>
          <t xml:space="preserve"> • dĺžka: 1 m 
 • priemer: 6 mm 
 • priemer po zmrštení: 3 mm 
 • farba: červená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11">
      <c r="A1811" s="3" t="inlineStr">
        <is>
          <t>DRS 20-10/BK</t>
        </is>
      </c>
      <c r="B1811" s="2" t="inlineStr">
        <is>
          <t>Zmršťovacia trubička, 20/10 mm, čierna, 1m</t>
        </is>
      </c>
      <c r="C1811" s="1" t="n">
        <v>2.79</v>
      </c>
      <c r="D1811" s="7" t="n">
        <f>HYPERLINK("https://www.somogyi.sk/product/zmrstovacia-trubicka-20-10-mm-cierna-1m-drs-20-10-bk-4990","https://www.somogyi.sk/product/zmrstovacia-trubicka-20-10-mm-cierna-1m-drs-20-10-bk-4990")</f>
        <v>0.0</v>
      </c>
      <c r="E1811" s="7" t="n">
        <f>HYPERLINK("https://www.somogyi.sk/productimages/product_main_images/small/04990.jpg","https://www.somogyi.sk/productimages/product_main_images/small/04990.jpg")</f>
        <v>0.0</v>
      </c>
      <c r="F1811" s="2" t="inlineStr">
        <is>
          <t>5998312744123</t>
        </is>
      </c>
      <c r="G1811" s="4" t="inlineStr">
        <is>
          <t xml:space="preserve"> • dĺžka: 1 m 
 • priemer: 20 mm 
 • priemer po zmrštení: 10 mm 
 • farba: čierna 
 • teplota zmrštenia: 125°C (90 - 125°C) 
 • teplotný rozsah použitia: -55 - 125°C 
 • ťah: ≥ 12 Mpa 
 • trh: ≥ 200 % 
 • zmena dĺžky: ≤ 5 % 
 • izolačná odolnosť: ≥ 20 kV / mm 
 • odolnosť proti ohňu: podľa VW - 1 
 • odolnosť proti UV žiareniu: prevedenie odolné proti UV žiareniu</t>
        </is>
      </c>
    </row>
    <row r="1812">
      <c r="A1812" s="6" t="inlineStr">
        <is>
          <t xml:space="preserve">   Meranie, nástroje, spájkovanie / Izolačná páska, lepiaca páska</t>
        </is>
      </c>
      <c r="B1812" s="6" t="inlineStr">
        <is>
          <t/>
        </is>
      </c>
      <c r="C1812" s="6" t="inlineStr">
        <is>
          <t/>
        </is>
      </c>
      <c r="D1812" s="6" t="inlineStr">
        <is>
          <t/>
        </is>
      </c>
      <c r="E1812" s="6" t="inlineStr">
        <is>
          <t/>
        </is>
      </c>
      <c r="F1812" s="6" t="inlineStr">
        <is>
          <t/>
        </is>
      </c>
      <c r="G1812" s="6" t="inlineStr">
        <is>
          <t/>
        </is>
      </c>
    </row>
    <row r="1813">
      <c r="A1813" s="3" t="inlineStr">
        <is>
          <t>SS 510</t>
        </is>
      </c>
      <c r="B1813" s="2" t="inlineStr">
        <is>
          <t>Izolačná páska, 10 m, biela</t>
        </is>
      </c>
      <c r="C1813" s="1" t="n">
        <v>0.69</v>
      </c>
      <c r="D1813" s="7" t="n">
        <f>HYPERLINK("https://www.somogyi.sk/product/izolacna-paska-10-m-biela-ss-510-3090","https://www.somogyi.sk/product/izolacna-paska-10-m-biela-ss-510-3090")</f>
        <v>0.0</v>
      </c>
      <c r="E1813" s="7" t="n">
        <f>HYPERLINK("https://www.somogyi.sk/productimages/product_main_images/small/03090.jpg","https://www.somogyi.sk/productimages/product_main_images/small/03090.jpg")</f>
        <v>0.0</v>
      </c>
      <c r="F1813" s="2" t="inlineStr">
        <is>
          <t>5998312734148</t>
        </is>
      </c>
      <c r="G1813" s="4" t="inlineStr">
        <is>
          <t xml:space="preserve"> • Zdôraznená charakteristika: nie 
 • dĺžka: 10 m 
 • šírka: 19 mm 
 • farba: biela</t>
        </is>
      </c>
    </row>
    <row r="1814">
      <c r="A1814" s="3" t="inlineStr">
        <is>
          <t>SS 320</t>
        </is>
      </c>
      <c r="B1814" s="2" t="inlineStr">
        <is>
          <t>Izolačná páska, 20 m, modrá</t>
        </is>
      </c>
      <c r="C1814" s="1" t="n">
        <v>1.19</v>
      </c>
      <c r="D1814" s="7" t="n">
        <f>HYPERLINK("https://www.somogyi.sk/product/izolacna-paska-20-m-modra-ss-320-3096","https://www.somogyi.sk/product/izolacna-paska-20-m-modra-ss-320-3096")</f>
        <v>0.0</v>
      </c>
      <c r="E1814" s="7" t="n">
        <f>HYPERLINK("https://www.somogyi.sk/productimages/product_main_images/small/03096.jpg","https://www.somogyi.sk/productimages/product_main_images/small/03096.jpg")</f>
        <v>0.0</v>
      </c>
      <c r="F1814" s="2" t="inlineStr">
        <is>
          <t>5998312734209</t>
        </is>
      </c>
      <c r="G1814" s="4" t="inlineStr">
        <is>
          <t xml:space="preserve"> • Zdôraznená charakteristika: nie 
 • dĺžka: 20 m 
 • šírka: 19 mm 
 • farba: modrá</t>
        </is>
      </c>
    </row>
    <row r="1815">
      <c r="A1815" s="3" t="inlineStr">
        <is>
          <t>SS 520</t>
        </is>
      </c>
      <c r="B1815" s="2" t="inlineStr">
        <is>
          <t>Izolačná páska, 20 m, biela</t>
        </is>
      </c>
      <c r="C1815" s="1" t="n">
        <v>1.19</v>
      </c>
      <c r="D1815" s="7" t="n">
        <f>HYPERLINK("https://www.somogyi.sk/product/izolacna-paska-20-m-biela-ss-520-3097","https://www.somogyi.sk/product/izolacna-paska-20-m-biela-ss-520-3097")</f>
        <v>0.0</v>
      </c>
      <c r="E1815" s="7" t="n">
        <f>HYPERLINK("https://www.somogyi.sk/productimages/product_main_images/small/03097.jpg","https://www.somogyi.sk/productimages/product_main_images/small/03097.jpg")</f>
        <v>0.0</v>
      </c>
      <c r="F1815" s="2" t="inlineStr">
        <is>
          <t>5998312734216</t>
        </is>
      </c>
      <c r="G1815" s="4" t="inlineStr">
        <is>
          <t xml:space="preserve"> • Zdôraznená charakteristika: nie 
 • dĺžka: 20 m 
 • šírka: 19 mm 
 • farba: biela</t>
        </is>
      </c>
    </row>
    <row r="1816">
      <c r="A1816" s="3" t="inlineStr">
        <is>
          <t>RS 52/10</t>
        </is>
      </c>
      <c r="B1816" s="2" t="inlineStr">
        <is>
          <t>Obojstranná lepiaca páska, 10 m</t>
        </is>
      </c>
      <c r="C1816" s="1" t="n">
        <v>3.49</v>
      </c>
      <c r="D1816" s="7" t="n">
        <f>HYPERLINK("https://www.somogyi.sk/product/obojstranna-lepiaca-paska-10-m-rs-52-10-13757","https://www.somogyi.sk/product/obojstranna-lepiaca-paska-10-m-rs-52-10-13757")</f>
        <v>0.0</v>
      </c>
      <c r="E1816" s="7" t="n">
        <f>HYPERLINK("https://www.somogyi.sk/productimages/product_main_images/small/13757.jpg","https://www.somogyi.sk/productimages/product_main_images/small/13757.jpg")</f>
        <v>0.0</v>
      </c>
      <c r="F1816" s="2" t="inlineStr">
        <is>
          <t>8001814188870</t>
        </is>
      </c>
      <c r="G1816" s="4" t="inlineStr">
        <is>
          <t xml:space="preserve"> • Zdôraznená charakteristika: obojstranná, veľmi dobrá priľnavosť 
 • dĺžka: 10 m 
 • šírka: 50 mm 
 • farba: hnedá</t>
        </is>
      </c>
    </row>
    <row r="1817">
      <c r="A1817" s="3" t="inlineStr">
        <is>
          <t>RS 50/10</t>
        </is>
      </c>
      <c r="B1817" s="2" t="inlineStr">
        <is>
          <t>Lepiaca páska, 10 m</t>
        </is>
      </c>
      <c r="C1817" s="1" t="n">
        <v>2.89</v>
      </c>
      <c r="D1817" s="7" t="n">
        <f>HYPERLINK("https://www.somogyi.sk/product/lepiaca-paska-10-m-rs-50-10-11811","https://www.somogyi.sk/product/lepiaca-paska-10-m-rs-50-10-11811")</f>
        <v>0.0</v>
      </c>
      <c r="E1817" s="7" t="n">
        <f>HYPERLINK("https://www.somogyi.sk/productimages/product_main_images/small/11811.jpg","https://www.somogyi.sk/productimages/product_main_images/small/11811.jpg")</f>
        <v>0.0</v>
      </c>
      <c r="F1817" s="2" t="inlineStr">
        <is>
          <t>5999084900236</t>
        </is>
      </c>
      <c r="G1817" s="4" t="inlineStr">
        <is>
          <t xml:space="preserve"> • Zdôraznená charakteristika: posilnená textilom, veľmi veľká pevnosť, veľmi dobré lepiace vlastnosti 
 • dĺžka: 10 m 
 • šírka: 50 mm 
 • farba: strieborná</t>
        </is>
      </c>
    </row>
    <row r="1818">
      <c r="A1818" s="3" t="inlineStr">
        <is>
          <t>SS 110</t>
        </is>
      </c>
      <c r="B1818" s="2" t="inlineStr">
        <is>
          <t>Izolačná páska, 10 m, čierna</t>
        </is>
      </c>
      <c r="C1818" s="1" t="n">
        <v>0.69</v>
      </c>
      <c r="D1818" s="7" t="n">
        <f>HYPERLINK("https://www.somogyi.sk/product/izolacna-paska-10-m-cierna-ss-110-3086","https://www.somogyi.sk/product/izolacna-paska-10-m-cierna-ss-110-3086")</f>
        <v>0.0</v>
      </c>
      <c r="E1818" s="7" t="n">
        <f>HYPERLINK("https://www.somogyi.sk/productimages/product_main_images/small/03086.jpg","https://www.somogyi.sk/productimages/product_main_images/small/03086.jpg")</f>
        <v>0.0</v>
      </c>
      <c r="F1818" s="2" t="inlineStr">
        <is>
          <t>5998312734100</t>
        </is>
      </c>
      <c r="G1818" s="4" t="inlineStr">
        <is>
          <t xml:space="preserve"> • Zdôraznená charakteristika: nie 
 • dĺžka: 10 m 
 • šírka: 19 mm 
 • farba: čierna</t>
        </is>
      </c>
    </row>
    <row r="1819">
      <c r="A1819" s="3" t="inlineStr">
        <is>
          <t>SS 920</t>
        </is>
      </c>
      <c r="B1819" s="2" t="inlineStr">
        <is>
          <t xml:space="preserve">Izolačná páska, 20 m, zeleno/žltá </t>
        </is>
      </c>
      <c r="C1819" s="1" t="n">
        <v>1.35</v>
      </c>
      <c r="D1819" s="7" t="n">
        <f>HYPERLINK("https://www.somogyi.sk/product/izolacna-paska-20-m-zeleno-zlta-ss-920-3091","https://www.somogyi.sk/product/izolacna-paska-20-m-zeleno-zlta-ss-920-3091")</f>
        <v>0.0</v>
      </c>
      <c r="E1819" s="7" t="n">
        <f>HYPERLINK("https://www.somogyi.sk/productimages/product_main_images/small/03091.jpg","https://www.somogyi.sk/productimages/product_main_images/small/03091.jpg")</f>
        <v>0.0</v>
      </c>
      <c r="F1819" s="2" t="inlineStr">
        <is>
          <t>5998312734155</t>
        </is>
      </c>
      <c r="G1819" s="4" t="inlineStr">
        <is>
          <t xml:space="preserve"> • Zdôraznená charakteristika: nie 
 • dĺžka: 20 m 
 • šírka: 19 mm 
 • farba: zeleno-žltá</t>
        </is>
      </c>
    </row>
    <row r="1820">
      <c r="A1820" s="3" t="inlineStr">
        <is>
          <t>SS 120</t>
        </is>
      </c>
      <c r="B1820" s="2" t="inlineStr">
        <is>
          <t>Izolačná páska, 20 m, čierna</t>
        </is>
      </c>
      <c r="C1820" s="1" t="n">
        <v>1.19</v>
      </c>
      <c r="D1820" s="7" t="n">
        <f>HYPERLINK("https://www.somogyi.sk/product/izolacna-paska-20-m-cierna-ss-120-3093","https://www.somogyi.sk/product/izolacna-paska-20-m-cierna-ss-120-3093")</f>
        <v>0.0</v>
      </c>
      <c r="E1820" s="7" t="n">
        <f>HYPERLINK("https://www.somogyi.sk/productimages/product_main_images/small/03093.jpg","https://www.somogyi.sk/productimages/product_main_images/small/03093.jpg")</f>
        <v>0.0</v>
      </c>
      <c r="F1820" s="2" t="inlineStr">
        <is>
          <t>5998312734179</t>
        </is>
      </c>
      <c r="G1820" s="4" t="inlineStr">
        <is>
          <t xml:space="preserve"> • Zdôraznená charakteristika: nie 
 • dĺžka: 20 m 
 • šírka: 19 mm 
 • farba: čierna</t>
        </is>
      </c>
    </row>
    <row r="1821">
      <c r="A1821" s="3" t="inlineStr">
        <is>
          <t>SS 420</t>
        </is>
      </c>
      <c r="B1821" s="2" t="inlineStr">
        <is>
          <t>Izolačná páska, 20 m, zelená</t>
        </is>
      </c>
      <c r="C1821" s="1" t="n">
        <v>1.19</v>
      </c>
      <c r="D1821" s="7" t="n">
        <f>HYPERLINK("https://www.somogyi.sk/product/izolacna-paska-20-m-zelena-ss-420-3095","https://www.somogyi.sk/product/izolacna-paska-20-m-zelena-ss-420-3095")</f>
        <v>0.0</v>
      </c>
      <c r="E1821" s="7" t="n">
        <f>HYPERLINK("https://www.somogyi.sk/productimages/product_main_images/small/03095.jpg","https://www.somogyi.sk/productimages/product_main_images/small/03095.jpg")</f>
        <v>0.0</v>
      </c>
      <c r="F1821" s="2" t="inlineStr">
        <is>
          <t>5998312734193</t>
        </is>
      </c>
      <c r="G1821" s="4" t="inlineStr">
        <is>
          <t xml:space="preserve"> • Zdôraznená charakteristika: nie 
 • dĺžka: 20 m 
 • šírka: 19 mm 
 • farba: zelená</t>
        </is>
      </c>
    </row>
    <row r="1822">
      <c r="A1822" s="3" t="inlineStr">
        <is>
          <t>SS 220</t>
        </is>
      </c>
      <c r="B1822" s="2" t="inlineStr">
        <is>
          <t>Izolačná páska, 20 m, červená</t>
        </is>
      </c>
      <c r="C1822" s="1" t="n">
        <v>1.19</v>
      </c>
      <c r="D1822" s="7" t="n">
        <f>HYPERLINK("https://www.somogyi.sk/product/izolacna-paska-20-m-cervena-ss-220-3092","https://www.somogyi.sk/product/izolacna-paska-20-m-cervena-ss-220-3092")</f>
        <v>0.0</v>
      </c>
      <c r="E1822" s="7" t="n">
        <f>HYPERLINK("https://www.somogyi.sk/productimages/product_main_images/small/03092.jpg","https://www.somogyi.sk/productimages/product_main_images/small/03092.jpg")</f>
        <v>0.0</v>
      </c>
      <c r="F1822" s="2" t="inlineStr">
        <is>
          <t>5998312734162</t>
        </is>
      </c>
      <c r="G1822" s="4" t="inlineStr">
        <is>
          <t xml:space="preserve"> • Zdôraznená charakteristika: nie 
 • dĺžka: 20 m 
 • šírka: 19 mm 
 • farba: červená</t>
        </is>
      </c>
    </row>
    <row r="1823">
      <c r="A1823" s="3" t="inlineStr">
        <is>
          <t>RS 50</t>
        </is>
      </c>
      <c r="B1823" s="2" t="inlineStr">
        <is>
          <t>Lepiaca páska, 50 m</t>
        </is>
      </c>
      <c r="C1823" s="1" t="n">
        <v>9.19</v>
      </c>
      <c r="D1823" s="7" t="n">
        <f>HYPERLINK("https://www.somogyi.sk/product/lepiaca-paska-50-m-rs-50-5009","https://www.somogyi.sk/product/lepiaca-paska-50-m-rs-50-5009")</f>
        <v>0.0</v>
      </c>
      <c r="E1823" s="7" t="n">
        <f>HYPERLINK("https://www.somogyi.sk/productimages/product_main_images/small/05009.jpg","https://www.somogyi.sk/productimages/product_main_images/small/05009.jpg")</f>
        <v>0.0</v>
      </c>
      <c r="F1823" s="2" t="inlineStr">
        <is>
          <t>5998312744314</t>
        </is>
      </c>
      <c r="G1823" s="4" t="inlineStr">
        <is>
          <t xml:space="preserve"> • Zdôraznená charakteristika: posilnená textilom, veľmi veľká pevnosť, veľmi dobré lepiace vlastnosti 
 • dĺžka: 50 m 
 • šírka: 50 mm 
 • farba: strieborná</t>
        </is>
      </c>
    </row>
    <row r="1824">
      <c r="A1824" s="3" t="inlineStr">
        <is>
          <t>RSA 50/10</t>
        </is>
      </c>
      <c r="B1824" s="2" t="inlineStr">
        <is>
          <t>Hliníková lepiaca páska, 50mm/10 m</t>
        </is>
      </c>
      <c r="C1824" s="1" t="n">
        <v>3.69</v>
      </c>
      <c r="D1824" s="7" t="n">
        <f>HYPERLINK("https://www.somogyi.sk/product/hlinikova-lepiaca-paska-50mm-10-m-rsa-50-10-16906","https://www.somogyi.sk/product/hlinikova-lepiaca-paska-50mm-10-m-rsa-50-10-16906")</f>
        <v>0.0</v>
      </c>
      <c r="E1824" s="7" t="n">
        <f>HYPERLINK("https://www.somogyi.sk/productimages/product_main_images/small/16906.jpg","https://www.somogyi.sk/productimages/product_main_images/small/16906.jpg")</f>
        <v>0.0</v>
      </c>
      <c r="F1824" s="2" t="inlineStr">
        <is>
          <t>5999084949389</t>
        </is>
      </c>
      <c r="G1824" s="4" t="inlineStr">
        <is>
          <t xml:space="preserve"> • dĺžka: 10 m 
 • šírka: 50 mm 
 • farba: strieborná</t>
        </is>
      </c>
    </row>
    <row r="1825">
      <c r="A1825" s="6" t="inlineStr">
        <is>
          <t xml:space="preserve">   Meranie, nástroje, spájkovanie / Mazací, čistiaci materiál</t>
        </is>
      </c>
      <c r="B1825" s="6" t="inlineStr">
        <is>
          <t/>
        </is>
      </c>
      <c r="C1825" s="6" t="inlineStr">
        <is>
          <t/>
        </is>
      </c>
      <c r="D1825" s="6" t="inlineStr">
        <is>
          <t/>
        </is>
      </c>
      <c r="E1825" s="6" t="inlineStr">
        <is>
          <t/>
        </is>
      </c>
      <c r="F1825" s="6" t="inlineStr">
        <is>
          <t/>
        </is>
      </c>
      <c r="G1825" s="6" t="inlineStr">
        <is>
          <t/>
        </is>
      </c>
    </row>
    <row r="1826">
      <c r="A1826" s="3" t="inlineStr">
        <is>
          <t>290505</t>
        </is>
      </c>
      <c r="B1826" s="2" t="inlineStr">
        <is>
          <t>Motip čistič kontaktov, 200 ml</t>
        </is>
      </c>
      <c r="C1826" s="1" t="n">
        <v>6.59</v>
      </c>
      <c r="D1826" s="7" t="n">
        <f>HYPERLINK("https://www.somogyi.sk/product/motip-cistic-kontaktov-200-ml-290505-16411","https://www.somogyi.sk/product/motip-cistic-kontaktov-200-ml-290505-16411")</f>
        <v>0.0</v>
      </c>
      <c r="E1826" s="7" t="n">
        <f>HYPERLINK("https://www.somogyi.sk/productimages/product_main_images/small/16411.jpg","https://www.somogyi.sk/productimages/product_main_images/small/16411.jpg")</f>
        <v>0.0</v>
      </c>
      <c r="F1826" s="2" t="inlineStr">
        <is>
          <t>8711347235995</t>
        </is>
      </c>
      <c r="G1826" s="4" t="inlineStr">
        <is>
          <t xml:space="preserve"> • balenie: 200 ml</t>
        </is>
      </c>
    </row>
    <row r="1827">
      <c r="A1827" s="3" t="inlineStr">
        <is>
          <t>290513</t>
        </is>
      </c>
      <c r="B1827" s="2" t="inlineStr">
        <is>
          <t>Motip sprej na odstránenie etikety, 200 ml</t>
        </is>
      </c>
      <c r="C1827" s="1" t="n">
        <v>7.69</v>
      </c>
      <c r="D1827" s="7" t="n">
        <f>HYPERLINK("https://www.somogyi.sk/product/motip-sprej-na-odstranenie-etikety-200-ml-290513-16413","https://www.somogyi.sk/product/motip-sprej-na-odstranenie-etikety-200-ml-290513-16413")</f>
        <v>0.0</v>
      </c>
      <c r="E1827" s="7" t="n">
        <f>HYPERLINK("https://www.somogyi.sk/productimages/product_main_images/small/16413.jpg","https://www.somogyi.sk/productimages/product_main_images/small/16413.jpg")</f>
        <v>0.0</v>
      </c>
      <c r="F1827" s="2" t="inlineStr">
        <is>
          <t>8711347236077</t>
        </is>
      </c>
      <c r="G1827" s="4" t="inlineStr">
        <is>
          <t xml:space="preserve"> • funkcia/prevedenie: odstraňovač etikety 
 • opis: vhodný na ošetrené a neošetrené kovy, drevo, kameň a rôzne plastové povrchy 
 • na odstraňovanie prilepenej mastnoty, dechtu, oleja, vosku, atramentu, živice, nálepiek a zvyškov lepidiel 
 • balenie: 200 ml</t>
        </is>
      </c>
    </row>
    <row r="1828">
      <c r="A1828" s="6" t="inlineStr">
        <is>
          <t xml:space="preserve">   Meranie, nástroje, spájkovanie / TRUE UTILITY</t>
        </is>
      </c>
      <c r="B1828" s="6" t="inlineStr">
        <is>
          <t/>
        </is>
      </c>
      <c r="C1828" s="6" t="inlineStr">
        <is>
          <t/>
        </is>
      </c>
      <c r="D1828" s="6" t="inlineStr">
        <is>
          <t/>
        </is>
      </c>
      <c r="E1828" s="6" t="inlineStr">
        <is>
          <t/>
        </is>
      </c>
      <c r="F1828" s="6" t="inlineStr">
        <is>
          <t/>
        </is>
      </c>
      <c r="G1828" s="6" t="inlineStr">
        <is>
          <t/>
        </is>
      </c>
    </row>
    <row r="1829">
      <c r="A1829" s="3" t="inlineStr">
        <is>
          <t>TU7060N</t>
        </is>
      </c>
      <c r="B1829" s="2" t="inlineStr">
        <is>
          <t>TRUE UTILITY MODERN KEY CHAIN KNIFE - Grey (Hang Pack)</t>
        </is>
      </c>
      <c r="C1829" s="1" t="n">
        <v>14.99</v>
      </c>
      <c r="D1829" s="7" t="n">
        <f>HYPERLINK("https://www.somogyi.sk/product/true-utility-modern-key-chain-knife-grey-hang-pack-tu7060n-17457","https://www.somogyi.sk/product/true-utility-modern-key-chain-knife-grey-hang-pack-tu7060n-17457")</f>
        <v>0.0</v>
      </c>
      <c r="E1829" s="7" t="n">
        <f>HYPERLINK("https://www.somogyi.sk/productimages/product_main_images/small/17457.jpg","https://www.somogyi.sk/productimages/product_main_images/small/17457.jpg")</f>
        <v>0.0</v>
      </c>
      <c r="F1829" s="2" t="inlineStr">
        <is>
          <t>5060063227825</t>
        </is>
      </c>
      <c r="G1829" s="4" t="inlineStr">
        <is>
          <t xml:space="preserve"> • rozmery: 7,6 x 1,7 x 0,8 cm 
 • materiál: kovová</t>
        </is>
      </c>
    </row>
    <row r="1830">
      <c r="A1830" s="3" t="inlineStr">
        <is>
          <t>TU181</t>
        </is>
      </c>
      <c r="B1830" s="2" t="inlineStr">
        <is>
          <t>TRUE UTILITY HANDYONE</t>
        </is>
      </c>
      <c r="C1830" s="1" t="n">
        <v>30.99</v>
      </c>
      <c r="D1830" s="7" t="n">
        <f>HYPERLINK("https://www.somogyi.sk/product/true-utility-handyone-tu181-17446","https://www.somogyi.sk/product/true-utility-handyone-tu181-17446")</f>
        <v>0.0</v>
      </c>
      <c r="E1830" s="7" t="n">
        <f>HYPERLINK("https://www.somogyi.sk/productimages/product_main_images/small/17446.jpg","https://www.somogyi.sk/productimages/product_main_images/small/17446.jpg")</f>
        <v>0.0</v>
      </c>
      <c r="F1830" s="2" t="inlineStr">
        <is>
          <t>5060063226958</t>
        </is>
      </c>
      <c r="G1830" s="4" t="inlineStr">
        <is>
          <t xml:space="preserve"> • charakteristiky: perfektné ručné náradie 18 v jednom • pružinové, nerezové kliešte, štiepačka na drôt, plochý skrutkovač, pilník, krížový skrutkovač, pílka, otvárač na fľaše, nôž s dĺžkou čepele 7 cm so zúbkovaním, magnetický držiak hlavy bitov a príslušenstvo 9 typov bitových hláv 
 • rozmery: (v zasunutom stave) 10,8 x 3,8 x 2.5 cm 
 • materiál: kovová</t>
        </is>
      </c>
    </row>
    <row r="1831">
      <c r="A1831" s="3" t="inlineStr">
        <is>
          <t>TU208K</t>
        </is>
      </c>
      <c r="B1831" s="2" t="inlineStr">
        <is>
          <t>TRUE UTILITY MINIMALIST</t>
        </is>
      </c>
      <c r="C1831" s="1" t="n">
        <v>20.99</v>
      </c>
      <c r="D1831" s="7" t="n">
        <f>HYPERLINK("https://www.somogyi.sk/product/true-utility-minimalist-tu208k-17440","https://www.somogyi.sk/product/true-utility-minimalist-tu208k-17440")</f>
        <v>0.0</v>
      </c>
      <c r="E1831" s="7" t="n">
        <f>HYPERLINK("https://www.somogyi.sk/productimages/product_main_images/small/17440.jpg","https://www.somogyi.sk/productimages/product_main_images/small/17440.jpg")</f>
        <v>0.0</v>
      </c>
      <c r="F1831" s="2" t="inlineStr">
        <is>
          <t>5060063226224</t>
        </is>
      </c>
      <c r="G1831" s="4" t="inlineStr">
        <is>
          <t xml:space="preserve"> • rozmery: (v zasunutom stave) 8,6 x 2 x 1,2 cm 
 • materiál: kovová</t>
        </is>
      </c>
    </row>
    <row r="1832">
      <c r="A1832" s="3" t="inlineStr">
        <is>
          <t>TU251K</t>
        </is>
      </c>
      <c r="B1832" s="2" t="inlineStr">
        <is>
          <t>TRUE UTILITY CASHSTASH+</t>
        </is>
      </c>
      <c r="C1832" s="1" t="n">
        <v>9.99</v>
      </c>
      <c r="D1832" s="7" t="n">
        <f>HYPERLINK("https://www.somogyi.sk/product/true-utility-cashstash-tu251k-17439","https://www.somogyi.sk/product/true-utility-cashstash-tu251k-17439")</f>
        <v>0.0</v>
      </c>
      <c r="E1832" s="7" t="n">
        <f>HYPERLINK("https://www.somogyi.sk/productimages/product_main_images/small/17439.jpg","https://www.somogyi.sk/productimages/product_main_images/small/17439.jpg")</f>
        <v>0.0</v>
      </c>
      <c r="F1832" s="2" t="inlineStr">
        <is>
          <t>5060063226279</t>
        </is>
      </c>
      <c r="G1832" s="4" t="inlineStr">
        <is>
          <t xml:space="preserve"> • rozmery: 4,6 x 1,3 x 1,3 cm 
 • materiál: kovová</t>
        </is>
      </c>
    </row>
    <row r="1833">
      <c r="A1833" s="3" t="inlineStr">
        <is>
          <t>TU206K</t>
        </is>
      </c>
      <c r="B1833" s="2" t="inlineStr">
        <is>
          <t>TRUE UTILITY FISHFACE</t>
        </is>
      </c>
      <c r="C1833" s="1" t="n">
        <v>11.99</v>
      </c>
      <c r="D1833" s="7" t="n">
        <f>HYPERLINK("https://www.somogyi.sk/product/true-utility-fishface-tu206k-17438","https://www.somogyi.sk/product/true-utility-fishface-tu206k-17438")</f>
        <v>0.0</v>
      </c>
      <c r="E1833" s="7" t="n">
        <f>HYPERLINK("https://www.somogyi.sk/productimages/product_main_images/small/17438.jpg","https://www.somogyi.sk/productimages/product_main_images/small/17438.jpg")</f>
        <v>0.0</v>
      </c>
      <c r="F1833" s="2" t="inlineStr">
        <is>
          <t>5060063226217</t>
        </is>
      </c>
      <c r="G1833" s="4" t="inlineStr">
        <is>
          <t xml:space="preserve"> • charakteristiky: • 18 funkcií - všetko jednom náradí • karabína, malý/stredný/veľký plochý skrutkovač, páka, špicový kľúč, bezpečnostná čepeľ, 4mm/ 6mm/ 1/4"/ 8mm/ 10mm skrutkový kľúč, otvárač na fľaše, nástroj čistenie nechtov, malý/stredný/veľký krížový skrutkovač, pilník 
 • rozmery: 7 x 2,9 x 0,9 cm 
 • materiál: kovová</t>
        </is>
      </c>
    </row>
    <row r="1834">
      <c r="A1834" s="3" t="inlineStr">
        <is>
          <t>TU214K</t>
        </is>
      </c>
      <c r="B1834" s="2" t="inlineStr">
        <is>
          <t>TRUE UTILITY SHARKEY</t>
        </is>
      </c>
      <c r="C1834" s="1" t="n">
        <v>13.49</v>
      </c>
      <c r="D1834" s="7" t="n">
        <f>HYPERLINK("https://www.somogyi.sk/product/true-utility-sharkey-tu214k-17437","https://www.somogyi.sk/product/true-utility-sharkey-tu214k-17437")</f>
        <v>0.0</v>
      </c>
      <c r="E1834" s="7" t="n">
        <f>HYPERLINK("https://www.somogyi.sk/productimages/product_main_images/small/17437.jpg","https://www.somogyi.sk/productimages/product_main_images/small/17437.jpg")</f>
        <v>0.0</v>
      </c>
      <c r="F1834" s="2" t="inlineStr">
        <is>
          <t>5060063226248</t>
        </is>
      </c>
      <c r="G1834" s="4" t="inlineStr">
        <is>
          <t xml:space="preserve"> • rozmery: 2,5 x 0,8 x 6,8 cm 
 • materiál: kovová</t>
        </is>
      </c>
    </row>
    <row r="1835">
      <c r="A1835" s="3" t="inlineStr">
        <is>
          <t>TU6871</t>
        </is>
      </c>
      <c r="B1835" s="2" t="inlineStr">
        <is>
          <t>TRUE UTILITY TRUEBLADE</t>
        </is>
      </c>
      <c r="C1835" s="1" t="n">
        <v>20.99</v>
      </c>
      <c r="D1835" s="7" t="n">
        <f>HYPERLINK("https://www.somogyi.sk/product/true-utility-trueblade-tu6871-17460","https://www.somogyi.sk/product/true-utility-trueblade-tu6871-17460")</f>
        <v>0.0</v>
      </c>
      <c r="E1835" s="7" t="n">
        <f>HYPERLINK("https://www.somogyi.sk/productimages/product_main_images/small/17460.jpg","https://www.somogyi.sk/productimages/product_main_images/small/17460.jpg")</f>
        <v>0.0</v>
      </c>
      <c r="F1835" s="2" t="inlineStr">
        <is>
          <t>5060063227252</t>
        </is>
      </c>
      <c r="G1835" s="4" t="inlineStr">
        <is>
          <t xml:space="preserve"> • rozmery: (v zasunutom stave) 10,9 x 3,1 x 1,7 cm 
 • materiál: kovová</t>
        </is>
      </c>
    </row>
    <row r="1836">
      <c r="A1836" s="3" t="inlineStr">
        <is>
          <t>TU6869</t>
        </is>
      </c>
      <c r="B1836" s="2" t="inlineStr">
        <is>
          <t>TRUE UTILITY SMARTKNIFE+</t>
        </is>
      </c>
      <c r="C1836" s="1" t="n">
        <v>18.99</v>
      </c>
      <c r="D1836" s="7" t="n">
        <f>HYPERLINK("https://www.somogyi.sk/product/true-utility-smartknife-tu6869-17461","https://www.somogyi.sk/product/true-utility-smartknife-tu6869-17461")</f>
        <v>0.0</v>
      </c>
      <c r="E1836" s="7" t="n">
        <f>HYPERLINK("https://www.somogyi.sk/productimages/product_main_images/small/17461.jpg","https://www.somogyi.sk/productimages/product_main_images/small/17461.jpg")</f>
        <v>0.0</v>
      </c>
      <c r="F1836" s="2" t="inlineStr">
        <is>
          <t>5060063227269</t>
        </is>
      </c>
      <c r="G1836" s="4" t="inlineStr">
        <is>
          <t xml:space="preserve"> • rozmery: (v zasunutom stave) 11,2 x 4,2 x 1,4 cm 
 • materiál: kovová</t>
        </is>
      </c>
    </row>
    <row r="1837">
      <c r="A1837" s="3" t="inlineStr">
        <is>
          <t>TU919K</t>
        </is>
      </c>
      <c r="B1837" s="2" t="inlineStr">
        <is>
          <t>TRUE UTILITY BUTTONLITE</t>
        </is>
      </c>
      <c r="C1837" s="1" t="n">
        <v>20.99</v>
      </c>
      <c r="D1837" s="7" t="n">
        <f>HYPERLINK("https://www.somogyi.sk/product/true-utility-buttonlite-tu919k-17453","https://www.somogyi.sk/product/true-utility-buttonlite-tu919k-17453")</f>
        <v>0.0</v>
      </c>
      <c r="E1837" s="7" t="n">
        <f>HYPERLINK("https://www.somogyi.sk/productimages/product_main_images/small/17453.jpg","https://www.somogyi.sk/productimages/product_main_images/small/17453.jpg")</f>
        <v>0.0</v>
      </c>
      <c r="F1837" s="2" t="inlineStr">
        <is>
          <t>5060063226545</t>
        </is>
      </c>
      <c r="G1837" s="4" t="inlineStr">
        <is>
          <t xml:space="preserve"> • rozmery: 4,3 x 3,3 x 1,6 cm 
 • materiál: kovový</t>
        </is>
      </c>
    </row>
    <row r="1838">
      <c r="A1838" s="3" t="inlineStr">
        <is>
          <t>TU407K</t>
        </is>
      </c>
      <c r="B1838" s="2" t="inlineStr">
        <is>
          <t>TRUE UTILITY FIREWIRE TURBOJET LIGHTER</t>
        </is>
      </c>
      <c r="C1838" s="1" t="n">
        <v>20.99</v>
      </c>
      <c r="D1838" s="7" t="n">
        <f>HYPERLINK("https://www.somogyi.sk/product/true-utility-firewire-turbojet-lighter-tu407k-17456","https://www.somogyi.sk/product/true-utility-firewire-turbojet-lighter-tu407k-17456")</f>
        <v>0.0</v>
      </c>
      <c r="E1838" s="7" t="n">
        <f>HYPERLINK("https://www.somogyi.sk/productimages/product_main_images/small/17456.jpg","https://www.somogyi.sk/productimages/product_main_images/small/17456.jpg")</f>
        <v>0.0</v>
      </c>
      <c r="F1838" s="2" t="inlineStr">
        <is>
          <t>5060063226514</t>
        </is>
      </c>
      <c r="G1838" s="4" t="inlineStr">
        <is>
          <t xml:space="preserve"> • rozmery: 7 x 2,5 x 3,5 cm 
 • materiál: kovová</t>
        </is>
      </c>
    </row>
    <row r="1839">
      <c r="A1839" s="3" t="inlineStr">
        <is>
          <t>TU246K</t>
        </is>
      </c>
      <c r="B1839" s="2" t="inlineStr">
        <is>
          <t>TRUE UTILITY</t>
        </is>
      </c>
      <c r="C1839" s="1" t="n">
        <v>7.99</v>
      </c>
      <c r="D1839" s="7" t="n">
        <f>HYPERLINK("https://www.somogyi.sk/product/true-utility-tu246k-17669","https://www.somogyi.sk/product/true-utility-tu246k-17669")</f>
        <v>0.0</v>
      </c>
      <c r="E1839" s="7" t="n">
        <f>HYPERLINK("https://www.somogyi.sk/productimages/product_main_images/small/17669.jpg","https://www.somogyi.sk/productimages/product_main_images/small/17669.jpg")</f>
        <v>0.0</v>
      </c>
      <c r="F1839" s="2" t="inlineStr">
        <is>
          <t>5060063227443</t>
        </is>
      </c>
      <c r="G1839" s="4" t="inlineStr">
        <is>
          <t xml:space="preserve"> • materiál: oceľ / hliník</t>
        </is>
      </c>
    </row>
    <row r="1840">
      <c r="A1840" s="3" t="inlineStr">
        <is>
          <t>TRU-MTL-0004-G</t>
        </is>
      </c>
      <c r="B1840" s="2" t="inlineStr">
        <is>
          <t>TRUE UTILITY Ti POCKET MULTI TOOL</t>
        </is>
      </c>
      <c r="C1840" s="1" t="n">
        <v>46.99</v>
      </c>
      <c r="D1840" s="7" t="n">
        <f>HYPERLINK("https://www.somogyi.sk/product/true-utility-ti-pocket-multi-tool-tru-mtl-0004-g-17841","https://www.somogyi.sk/product/true-utility-ti-pocket-multi-tool-tru-mtl-0004-g-17841")</f>
        <v>0.0</v>
      </c>
      <c r="E1840" s="7" t="n">
        <f>HYPERLINK("https://www.somogyi.sk/productimages/product_main_images/small/17841.jpg","https://www.somogyi.sk/productimages/product_main_images/small/17841.jpg")</f>
        <v>0.0</v>
      </c>
      <c r="F1840" s="2" t="inlineStr">
        <is>
          <t>5060063229577</t>
        </is>
      </c>
      <c r="G1840" s="4" t="inlineStr">
        <is>
          <t xml:space="preserve"> • rozmery: (v zasunutom stave) 24,4 x 15,2 x 3,4 cm 
 • materiál: kovový</t>
        </is>
      </c>
    </row>
    <row r="1841">
      <c r="A1841" s="3" t="inlineStr">
        <is>
          <t>TRU-MTL-0002-G</t>
        </is>
      </c>
      <c r="B1841" s="2" t="inlineStr">
        <is>
          <t>TRUE UTILITY DUAL CUTTER</t>
        </is>
      </c>
      <c r="C1841" s="1" t="n">
        <v>21.99</v>
      </c>
      <c r="D1841" s="7" t="n">
        <f>HYPERLINK("https://www.somogyi.sk/product/true-utility-dual-cutter-tru-mtl-0002-g-17840","https://www.somogyi.sk/product/true-utility-dual-cutter-tru-mtl-0002-g-17840")</f>
        <v>0.0</v>
      </c>
      <c r="E1841" s="7" t="n">
        <f>HYPERLINK("https://www.somogyi.sk/productimages/product_main_images/small/17840.jpg","https://www.somogyi.sk/productimages/product_main_images/small/17840.jpg")</f>
        <v>0.0</v>
      </c>
      <c r="F1841" s="2" t="inlineStr">
        <is>
          <t>5060063229201</t>
        </is>
      </c>
      <c r="G1841" s="4" t="inlineStr">
        <is>
          <t xml:space="preserve"> • charakteristiky: rezací nástroj 2 v 1 • 7 cm nôž tanto • jednoručná, uzamykateľná čepeľ • pružinové nožnice so 4 cm ostrím • eloxovaný hliníkový kryt • čepeľ z nehrdzavejúcej ocele 
 • rozmery: (v zasunutom stave) 10 x 3 x 2 cm 
 • materiál: kovový</t>
        </is>
      </c>
    </row>
    <row r="1842">
      <c r="A1842" s="3" t="inlineStr">
        <is>
          <t>TU182</t>
        </is>
      </c>
      <c r="B1842" s="2" t="inlineStr">
        <is>
          <t>TRUE UTILITY FIRERANGER</t>
        </is>
      </c>
      <c r="C1842" s="1" t="n">
        <v>29.99</v>
      </c>
      <c r="D1842" s="7" t="n">
        <f>HYPERLINK("https://www.somogyi.sk/product/true-utility-fireranger-tu182-17842","https://www.somogyi.sk/product/true-utility-fireranger-tu182-17842")</f>
        <v>0.0</v>
      </c>
      <c r="E1842" s="7" t="n">
        <f>HYPERLINK("https://www.somogyi.sk/productimages/product_main_images/small/17842.jpg","https://www.somogyi.sk/productimages/product_main_images/small/17842.jpg")</f>
        <v>0.0</v>
      </c>
      <c r="F1842" s="2" t="inlineStr">
        <is>
          <t>5060063227795</t>
        </is>
      </c>
      <c r="G1842" s="4" t="inlineStr">
        <is>
          <t xml:space="preserve"> • rozmery: (v zasunutom stave) 10,8 x 4 x 2,6 cm 
 • materiál: kovový</t>
        </is>
      </c>
    </row>
    <row r="1843">
      <c r="A1843" s="3" t="inlineStr">
        <is>
          <t>TU571K</t>
        </is>
      </c>
      <c r="B1843" s="2" t="inlineStr">
        <is>
          <t>TRUE UTILITY SKELETONKNIFE</t>
        </is>
      </c>
      <c r="C1843" s="1" t="n">
        <v>12.49</v>
      </c>
      <c r="D1843" s="7" t="n">
        <f>HYPERLINK("https://www.somogyi.sk/product/true-utility-skeletonknife-tu571k-17670","https://www.somogyi.sk/product/true-utility-skeletonknife-tu571k-17670")</f>
        <v>0.0</v>
      </c>
      <c r="E1843" s="7" t="n">
        <f>HYPERLINK("https://www.somogyi.sk/productimages/product_main_images/small/17670.jpg","https://www.somogyi.sk/productimages/product_main_images/small/17670.jpg")</f>
        <v>0.0</v>
      </c>
      <c r="F1843" s="2" t="inlineStr">
        <is>
          <t>5060063227108</t>
        </is>
      </c>
      <c r="G1843" s="4" t="inlineStr">
        <is>
          <t xml:space="preserve"> • rozmery: 6,3 x 2,4 x 0,65 cm 
 • materiál: kovový</t>
        </is>
      </c>
    </row>
    <row r="1844">
      <c r="A1844" s="3" t="inlineStr">
        <is>
          <t>TU590</t>
        </is>
      </c>
      <c r="B1844" s="2" t="inlineStr">
        <is>
          <t>TRUE UTILITY CRAFTY</t>
        </is>
      </c>
      <c r="C1844" s="1" t="n">
        <v>12.99</v>
      </c>
      <c r="D1844" s="7" t="n">
        <f>HYPERLINK("https://www.somogyi.sk/product/true-utility-crafty-tu590-17462","https://www.somogyi.sk/product/true-utility-crafty-tu590-17462")</f>
        <v>0.0</v>
      </c>
      <c r="E1844" s="7" t="n">
        <f>HYPERLINK("https://www.somogyi.sk/productimages/product_main_images/small/17462.jpg","https://www.somogyi.sk/productimages/product_main_images/small/17462.jpg")</f>
        <v>0.0</v>
      </c>
      <c r="F1844" s="2" t="inlineStr">
        <is>
          <t>5060063226033</t>
        </is>
      </c>
      <c r="G1844" s="4" t="inlineStr">
        <is>
          <t xml:space="preserve"> • rozmery: (v zasunutom stave) 11 x 2,6 x 0,9 cm 
 • materiál: kovová</t>
        </is>
      </c>
    </row>
    <row r="1845">
      <c r="A1845" s="3" t="inlineStr">
        <is>
          <t>TU918</t>
        </is>
      </c>
      <c r="B1845" s="2" t="inlineStr">
        <is>
          <t>TRUE UTILITY CLIPLITE</t>
        </is>
      </c>
      <c r="C1845" s="1" t="n">
        <v>21.99</v>
      </c>
      <c r="D1845" s="7" t="n">
        <f>HYPERLINK("https://www.somogyi.sk/product/true-utility-cliplite-tu918-17452","https://www.somogyi.sk/product/true-utility-cliplite-tu918-17452")</f>
        <v>0.0</v>
      </c>
      <c r="E1845" s="7" t="n">
        <f>HYPERLINK("https://www.somogyi.sk/productimages/product_main_images/small/17452.jpg","https://www.somogyi.sk/productimages/product_main_images/small/17452.jpg")</f>
        <v>0.0</v>
      </c>
      <c r="F1845" s="2" t="inlineStr">
        <is>
          <t>5060063225364</t>
        </is>
      </c>
      <c r="G1845" s="4" t="inlineStr">
        <is>
          <t xml:space="preserve"> • rozmery: 13 x 3,4 x 1,6 cm 
 • materiál: kov, koža</t>
        </is>
      </c>
    </row>
    <row r="1846">
      <c r="A1846" s="3" t="inlineStr">
        <is>
          <t>TU180K</t>
        </is>
      </c>
      <c r="B1846" s="2" t="inlineStr">
        <is>
          <t>TRUE UTILITY SEVEN</t>
        </is>
      </c>
      <c r="C1846" s="1" t="n">
        <v>20.99</v>
      </c>
      <c r="D1846" s="7" t="n">
        <f>HYPERLINK("https://www.somogyi.sk/product/true-utility-seven-tu180k-17447","https://www.somogyi.sk/product/true-utility-seven-tu180k-17447")</f>
        <v>0.0</v>
      </c>
      <c r="E1846" s="7" t="n">
        <f>HYPERLINK("https://www.somogyi.sk/productimages/product_main_images/small/17447.jpg","https://www.somogyi.sk/productimages/product_main_images/small/17447.jpg")</f>
        <v>0.0</v>
      </c>
      <c r="F1846" s="2" t="inlineStr">
        <is>
          <t>5060063226156</t>
        </is>
      </c>
      <c r="G1846" s="4" t="inlineStr">
        <is>
          <t xml:space="preserve"> • rozmery: (v zasunutom stave) 8,5 x 3 x 1,5 cm 
 • materiál: kovová</t>
        </is>
      </c>
    </row>
    <row r="1847">
      <c r="A1847" s="3" t="inlineStr">
        <is>
          <t>TU921</t>
        </is>
      </c>
      <c r="B1847" s="2" t="inlineStr">
        <is>
          <t>TRUE UTILITY KEYSHACKLE</t>
        </is>
      </c>
      <c r="C1847" s="1" t="n">
        <v>15.49</v>
      </c>
      <c r="D1847" s="7" t="n">
        <f>HYPERLINK("https://www.somogyi.sk/product/true-utility-keyshackle-tu921-17445","https://www.somogyi.sk/product/true-utility-keyshackle-tu921-17445")</f>
        <v>0.0</v>
      </c>
      <c r="E1847" s="7" t="n">
        <f>HYPERLINK("https://www.somogyi.sk/productimages/product_main_images/small/17445.jpg","https://www.somogyi.sk/productimages/product_main_images/small/17445.jpg")</f>
        <v>0.0</v>
      </c>
      <c r="F1847" s="2" t="inlineStr">
        <is>
          <t>5060063227290</t>
        </is>
      </c>
      <c r="G1847" s="4" t="inlineStr">
        <is>
          <t xml:space="preserve"> • rozmery: 10 x 2,6 x 2,2 cm 
 • materiál: kov, koža</t>
        </is>
      </c>
    </row>
    <row r="1848">
      <c r="A1848" s="3" t="inlineStr">
        <is>
          <t>TU215K</t>
        </is>
      </c>
      <c r="B1848" s="2" t="inlineStr">
        <is>
          <t>TRUE UTILITY NAILCLIP KIT</t>
        </is>
      </c>
      <c r="C1848" s="1" t="n">
        <v>13.49</v>
      </c>
      <c r="D1848" s="7" t="n">
        <f>HYPERLINK("https://www.somogyi.sk/product/true-utility-nailclip-kit-tu215k-17444","https://www.somogyi.sk/product/true-utility-nailclip-kit-tu215k-17444")</f>
        <v>0.0</v>
      </c>
      <c r="E1848" s="7" t="n">
        <f>HYPERLINK("https://www.somogyi.sk/productimages/product_main_images/small/17444.jpg","https://www.somogyi.sk/productimages/product_main_images/small/17444.jpg")</f>
        <v>0.0</v>
      </c>
      <c r="F1848" s="2" t="inlineStr">
        <is>
          <t>5060063227023</t>
        </is>
      </c>
      <c r="G1848" s="4" t="inlineStr">
        <is>
          <t xml:space="preserve"> • charakteristiky: kompaktná sada na starostlivosť o nechty 5 v 1 • štipec na nechty, nôž, pilník, čistič na nechty, nožnice na nechty • materiál z nehrdzavejúcej ocele 
 • rozmery: 5,6 x 1,5 x 0,9 cm 
 • materiál: kovová</t>
        </is>
      </c>
    </row>
    <row r="1849">
      <c r="A1849" s="3" t="inlineStr">
        <is>
          <t>TU265K</t>
        </is>
      </c>
      <c r="B1849" s="2" t="inlineStr">
        <is>
          <t>TRUE UTILITY FIRELITE</t>
        </is>
      </c>
      <c r="C1849" s="1" t="n">
        <v>12.99</v>
      </c>
      <c r="D1849" s="7" t="n">
        <f>HYPERLINK("https://www.somogyi.sk/product/true-utility-firelite-tu265k-17454","https://www.somogyi.sk/product/true-utility-firelite-tu265k-17454")</f>
        <v>0.0</v>
      </c>
      <c r="E1849" s="7" t="n">
        <f>HYPERLINK("https://www.somogyi.sk/productimages/product_main_images/small/17454.jpg","https://www.somogyi.sk/productimages/product_main_images/small/17454.jpg")</f>
        <v>0.0</v>
      </c>
      <c r="F1849" s="2" t="inlineStr">
        <is>
          <t>5060063227061</t>
        </is>
      </c>
      <c r="G1849" s="4" t="inlineStr">
        <is>
          <t xml:space="preserve"> • rozmery: 8,3 x 1,6 x 1,6 cm 
 • materiál: kovová</t>
        </is>
      </c>
    </row>
    <row r="1850">
      <c r="A1850" s="3" t="inlineStr">
        <is>
          <t>TU195K</t>
        </is>
      </c>
      <c r="B1850" s="2" t="inlineStr">
        <is>
          <t>TRUE UTILITY MINIMULTI</t>
        </is>
      </c>
      <c r="C1850" s="1" t="n">
        <v>20.99</v>
      </c>
      <c r="D1850" s="7" t="n">
        <f>HYPERLINK("https://www.somogyi.sk/product/true-utility-minimulti-tu195k-17449","https://www.somogyi.sk/product/true-utility-minimulti-tu195k-17449")</f>
        <v>0.0</v>
      </c>
      <c r="E1850" s="7" t="n">
        <f>HYPERLINK("https://www.somogyi.sk/productimages/product_main_images/small/17449.jpg","https://www.somogyi.sk/productimages/product_main_images/small/17449.jpg")</f>
        <v>0.0</v>
      </c>
      <c r="F1850" s="2" t="inlineStr">
        <is>
          <t>5060063226163</t>
        </is>
      </c>
      <c r="G1850" s="4" t="inlineStr">
        <is>
          <t xml:space="preserve"> • charakteristiky: • 10 funkcií • krížový skrutkovač, nožnice, otvárač na fľaše, stredný plochý skrutkovač, pílka, pružinové nehrdzavejúce kliešte, štiepačka na drôt, veľký plochý skrutkovač, pilník, nôž 
 • rozmery: (v zasunutom stave) 7,6 x 3,8 x 1,6 cm 
 • materiál: kovová</t>
        </is>
      </c>
    </row>
    <row r="1851">
      <c r="A1851" s="3" t="inlineStr">
        <is>
          <t>TU289K</t>
        </is>
      </c>
      <c r="B1851" s="2" t="inlineStr">
        <is>
          <t>TRUE UTILITY LASERLITE</t>
        </is>
      </c>
      <c r="C1851" s="1" t="n">
        <v>9.99</v>
      </c>
      <c r="D1851" s="7" t="n">
        <f>HYPERLINK("https://www.somogyi.sk/product/true-utility-laserlite-tu289k-17450","https://www.somogyi.sk/product/true-utility-laserlite-tu289k-17450")</f>
        <v>0.0</v>
      </c>
      <c r="E1851" s="7" t="n">
        <f>HYPERLINK("https://www.somogyi.sk/productimages/product_main_images/small/17450.jpg","https://www.somogyi.sk/productimages/product_main_images/small/17450.jpg")</f>
        <v>0.0</v>
      </c>
      <c r="F1851" s="2" t="inlineStr">
        <is>
          <t>5060063227276</t>
        </is>
      </c>
      <c r="G1851" s="4" t="inlineStr">
        <is>
          <t xml:space="preserve"> • rozmery: 7,5 x 1,6 x 1,6 cm 
 • materiál: kovová</t>
        </is>
      </c>
    </row>
    <row r="1852">
      <c r="A1852" s="3" t="inlineStr">
        <is>
          <t>TU262K</t>
        </is>
      </c>
      <c r="B1852" s="2" t="inlineStr">
        <is>
          <t>TRUE UTILITY FIRESTASH</t>
        </is>
      </c>
      <c r="C1852" s="1" t="n">
        <v>9.99</v>
      </c>
      <c r="D1852" s="7" t="n">
        <f>HYPERLINK("https://www.somogyi.sk/product/true-utility-firestash-tu262k-17455","https://www.somogyi.sk/product/true-utility-firestash-tu262k-17455")</f>
        <v>0.0</v>
      </c>
      <c r="E1852" s="7" t="n">
        <f>HYPERLINK("https://www.somogyi.sk/productimages/product_main_images/small/17455.jpg","https://www.somogyi.sk/productimages/product_main_images/small/17455.jpg")</f>
        <v>0.0</v>
      </c>
      <c r="F1852" s="2" t="inlineStr">
        <is>
          <t>5060063226293</t>
        </is>
      </c>
      <c r="G1852" s="4" t="inlineStr">
        <is>
          <t xml:space="preserve"> • charakteristiky: malý, vodeodolný zapaľovač a držiak na kľúče • chrómovaný zinkový materiál • možno použiť s bežným benzínovým zapaľovačom 
 • rozmery: 4,5 x 1,5 x 1,5 cm 
 • materiál: kovová 
 • ďalšie informácie: produkt nie je nabitý</t>
        </is>
      </c>
    </row>
    <row r="1853">
      <c r="A1853" s="6" t="inlineStr">
        <is>
          <t xml:space="preserve">   Meranie, nástroje, spájkovanie / Dierovač kože</t>
        </is>
      </c>
      <c r="B1853" s="6" t="inlineStr">
        <is>
          <t/>
        </is>
      </c>
      <c r="C1853" s="6" t="inlineStr">
        <is>
          <t/>
        </is>
      </c>
      <c r="D1853" s="6" t="inlineStr">
        <is>
          <t/>
        </is>
      </c>
      <c r="E1853" s="6" t="inlineStr">
        <is>
          <t/>
        </is>
      </c>
      <c r="F1853" s="6" t="inlineStr">
        <is>
          <t/>
        </is>
      </c>
      <c r="G1853" s="6" t="inlineStr">
        <is>
          <t/>
        </is>
      </c>
    </row>
    <row r="1854">
      <c r="A1854" s="3" t="inlineStr">
        <is>
          <t>BLF 6</t>
        </is>
      </c>
      <c r="B1854" s="2" t="inlineStr">
        <is>
          <t>Dierovacie kliešte na kožu, 6 rozmerov</t>
        </is>
      </c>
      <c r="C1854" s="1" t="n">
        <v>6.59</v>
      </c>
      <c r="D1854" s="7" t="n">
        <f>HYPERLINK("https://www.somogyi.sk/product/dierovacie-klieste-na-kozu-6-rozmerov-blf-6-16604","https://www.somogyi.sk/product/dierovacie-klieste-na-kozu-6-rozmerov-blf-6-16604")</f>
        <v>0.0</v>
      </c>
      <c r="E1854" s="7" t="n">
        <f>HYPERLINK("https://www.somogyi.sk/productimages/product_main_images/small/16604.jpg","https://www.somogyi.sk/productimages/product_main_images/small/16604.jpg")</f>
        <v>0.0</v>
      </c>
      <c r="F1854" s="2" t="inlineStr">
        <is>
          <t>5999084946364</t>
        </is>
      </c>
      <c r="G1854" s="4" t="inlineStr">
        <is>
          <t xml:space="preserve"> • použitie: na dierovanie kože, textilu, tenkého kartónu a mäkkých plastov 
 • materiál: základný materiál: oceľ, pogumovaná rukoväť 
 • rozmery: dĺžka: 220 mm</t>
        </is>
      </c>
    </row>
    <row r="1855">
      <c r="A1855" s="6" t="inlineStr">
        <is>
          <t xml:space="preserve">   Meranie, nástroje, spájkovanie / N/A</t>
        </is>
      </c>
      <c r="B1855" s="6" t="inlineStr">
        <is>
          <t/>
        </is>
      </c>
      <c r="C1855" s="6" t="inlineStr">
        <is>
          <t/>
        </is>
      </c>
      <c r="D1855" s="6" t="inlineStr">
        <is>
          <t/>
        </is>
      </c>
      <c r="E1855" s="6" t="inlineStr">
        <is>
          <t/>
        </is>
      </c>
      <c r="F1855" s="6" t="inlineStr">
        <is>
          <t/>
        </is>
      </c>
      <c r="G1855" s="6" t="inlineStr">
        <is>
          <t/>
        </is>
      </c>
    </row>
    <row r="1856">
      <c r="A1856" s="3" t="inlineStr">
        <is>
          <t>KTG 01</t>
        </is>
      </c>
      <c r="B1856" s="2" t="inlineStr">
        <is>
          <t>Ručná sponkovačka</t>
        </is>
      </c>
      <c r="C1856" s="1" t="n">
        <v>7.29</v>
      </c>
      <c r="D1856" s="7" t="n">
        <f>HYPERLINK("https://www.somogyi.sk/product/rucna-sponkovacka-ktg-01-17469","https://www.somogyi.sk/product/rucna-sponkovacka-ktg-01-17469")</f>
        <v>0.0</v>
      </c>
      <c r="E1856" s="7" t="n">
        <f>HYPERLINK("https://www.somogyi.sk/productimages/product_main_images/small/17469.jpg","https://www.somogyi.sk/productimages/product_main_images/small/17469.jpg")</f>
        <v>0.0</v>
      </c>
      <c r="F1856" s="2" t="inlineStr">
        <is>
          <t>5999084954918</t>
        </is>
      </c>
      <c r="G1856" s="4" t="inlineStr">
        <is>
          <t xml:space="preserve"> • materiál: oceľ 
 • príslušenstvo: 300 x 8 mm spony U 
 • rozmery: 159 x 24 x 109 mm 
 • hmotnosť: 530 g</t>
        </is>
      </c>
    </row>
    <row r="1857">
      <c r="A1857" s="3" t="inlineStr">
        <is>
          <t>KTG 01/T</t>
        </is>
      </c>
      <c r="B1857" s="2" t="inlineStr">
        <is>
          <t>Sada sponiek 3x200db, 8mm, 10mm, 12mm</t>
        </is>
      </c>
      <c r="C1857" s="1" t="n">
        <v>2.29</v>
      </c>
      <c r="D1857" s="7" t="n">
        <f>HYPERLINK("https://www.somogyi.sk/product/sada-sponiek-3x200db-8mm-10mm-12mm-ktg-01-t-17468","https://www.somogyi.sk/product/sada-sponiek-3x200db-8mm-10mm-12mm-ktg-01-t-17468")</f>
        <v>0.0</v>
      </c>
      <c r="E1857" s="7" t="n">
        <f>HYPERLINK("https://www.somogyi.sk/productimages/product_main_images/small/17468.jpg","https://www.somogyi.sk/productimages/product_main_images/small/17468.jpg")</f>
        <v>0.0</v>
      </c>
      <c r="F1857" s="2" t="inlineStr">
        <is>
          <t>5999084954901</t>
        </is>
      </c>
      <c r="G1857" s="4" t="inlineStr">
        <is>
          <t xml:space="preserve"> • rozmery: 200 x 8 mm spona / 200 x 10 mm spona / 200 x12 mm spona</t>
        </is>
      </c>
    </row>
    <row r="1858">
      <c r="A1858" s="6" t="inlineStr">
        <is>
          <t xml:space="preserve">   Meranie, nástroje, spájkovanie / STANLEY vozíky</t>
        </is>
      </c>
      <c r="B1858" s="6" t="inlineStr">
        <is>
          <t/>
        </is>
      </c>
      <c r="C1858" s="6" t="inlineStr">
        <is>
          <t/>
        </is>
      </c>
      <c r="D1858" s="6" t="inlineStr">
        <is>
          <t/>
        </is>
      </c>
      <c r="E1858" s="6" t="inlineStr">
        <is>
          <t/>
        </is>
      </c>
      <c r="F1858" s="6" t="inlineStr">
        <is>
          <t/>
        </is>
      </c>
      <c r="G1858" s="6" t="inlineStr">
        <is>
          <t/>
        </is>
      </c>
    </row>
    <row r="1859">
      <c r="A1859" s="3" t="inlineStr">
        <is>
          <t>SXWTD-FT580</t>
        </is>
      </c>
      <c r="B1859" s="2" t="inlineStr">
        <is>
          <t>STANLEY Skladacia rudla, 70 kg</t>
        </is>
      </c>
      <c r="C1859" s="1" t="n">
        <v>55.99</v>
      </c>
      <c r="D1859" s="7" t="n">
        <f>HYPERLINK("https://www.somogyi.sk/product/stanley-skladacia-rudla-70-kg-sxwtd-ft580-17051","https://www.somogyi.sk/product/stanley-skladacia-rudla-70-kg-sxwtd-ft580-17051")</f>
        <v>0.0</v>
      </c>
      <c r="E1859" s="7" t="n">
        <f>HYPERLINK("https://www.somogyi.sk/productimages/product_main_images/small/17051.jpg","https://www.somogyi.sk/productimages/product_main_images/small/17051.jpg")</f>
        <v>0.0</v>
      </c>
      <c r="F1859" s="2" t="inlineStr">
        <is>
          <t>8717496635808</t>
        </is>
      </c>
      <c r="G1859" s="4" t="inlineStr">
        <is>
          <t xml:space="preserve"> • nosnosť: 70 kg 
 •  
 • skladací: áno 
 • materiál: odolné časti sú vyrobené z nylonu, ostatné plastové časti sú vyrobené z polypropylénu / rám, rukoväť je vyrobená z hliníka a ocele / plastové kolesá s gumovým povrchom 
 • hmotnosť: 3,9 kg 
 • ďalšie informácie: jeho kolesá sa po zložení naplocho zatvoria / možno uložiť na malom priestore, za nábytkom, pod posteľou / v zloženom stave sa ľahko prenáša</t>
        </is>
      </c>
    </row>
    <row r="1860">
      <c r="A1860" s="3" t="inlineStr">
        <is>
          <t>SXWTD-PC527</t>
        </is>
      </c>
      <c r="B1860" s="2" t="inlineStr">
        <is>
          <t>Skladací oceľový vozík</t>
        </is>
      </c>
      <c r="C1860" s="1" t="n">
        <v>87.99</v>
      </c>
      <c r="D1860" s="7" t="n">
        <f>HYPERLINK("https://www.somogyi.sk/product/skladaci-ocelovy-vozik-sxwtd-pc527-17826","https://www.somogyi.sk/product/skladaci-ocelovy-vozik-sxwtd-pc527-17826")</f>
        <v>0.0</v>
      </c>
      <c r="E1860" s="7" t="n">
        <f>HYPERLINK("https://www.somogyi.sk/productimages/product_main_images/small/17826.jpg","https://www.somogyi.sk/productimages/product_main_images/small/17826.jpg")</f>
        <v>0.0</v>
      </c>
      <c r="F1860" s="2" t="inlineStr">
        <is>
          <t>8717496635273</t>
        </is>
      </c>
      <c r="G1860" s="4" t="inlineStr">
        <is>
          <t xml:space="preserve"> • nosnosť: 150 kg 
 •  
 • skladací: áno 
 • hmotnosť: 7,8 kg</t>
        </is>
      </c>
    </row>
    <row r="1861">
      <c r="A1861" s="3" t="inlineStr">
        <is>
          <t>SXWTD-FT505</t>
        </is>
      </c>
      <c r="B1861" s="2" t="inlineStr">
        <is>
          <t>STANLEY Skladacia prepravka, 25 kg / 50 L</t>
        </is>
      </c>
      <c r="C1861" s="1" t="n">
        <v>42.99</v>
      </c>
      <c r="D1861" s="7" t="n">
        <f>HYPERLINK("https://www.somogyi.sk/product/stanley-skladacia-prepravka-25-kg-50-l-sxwtd-ft505-16623","https://www.somogyi.sk/product/stanley-skladacia-prepravka-25-kg-50-l-sxwtd-ft505-16623")</f>
        <v>0.0</v>
      </c>
      <c r="E1861" s="7" t="n">
        <f>HYPERLINK("https://www.somogyi.sk/productimages/product_main_images/small/16623.jpg","https://www.somogyi.sk/productimages/product_main_images/small/16623.jpg")</f>
        <v>0.0</v>
      </c>
      <c r="F1861" s="2" t="inlineStr">
        <is>
          <t>8717496635051</t>
        </is>
      </c>
      <c r="G1861" s="4" t="inlineStr">
        <is>
          <t xml:space="preserve"> • nosnosť: 25 kg 
 •  
 • skladací: áno 
 • materiál: plast 
 • objem: 50 l 
 • hmotnosť: 2 kg</t>
        </is>
      </c>
    </row>
    <row r="1862">
      <c r="A1862" s="3" t="inlineStr">
        <is>
          <t>SXWTD-FT584</t>
        </is>
      </c>
      <c r="B1862" s="2" t="inlineStr">
        <is>
          <t>STANLEY Skladacia schodisková rudla, 60 kg</t>
        </is>
      </c>
      <c r="C1862" s="1" t="n">
        <v>62.99</v>
      </c>
      <c r="D1862" s="7" t="n">
        <f>HYPERLINK("https://www.somogyi.sk/product/stanley-skladacia-schodiskova-rudla-60-kg-sxwtd-ft584-17052","https://www.somogyi.sk/product/stanley-skladacia-schodiskova-rudla-60-kg-sxwtd-ft584-17052")</f>
        <v>0.0</v>
      </c>
      <c r="E1862" s="7" t="n">
        <f>HYPERLINK("https://www.somogyi.sk/productimages/product_main_images/small/17052.jpg","https://www.somogyi.sk/productimages/product_main_images/small/17052.jpg")</f>
        <v>0.0</v>
      </c>
      <c r="F1862" s="2" t="inlineStr">
        <is>
          <t>8717496635846</t>
        </is>
      </c>
      <c r="G1862" s="4" t="inlineStr">
        <is>
          <t xml:space="preserve"> • nosnosť: 60 kg 
 •  
 • skladací: áno 
 • materiál: odolné časti sú vyrobené z nylonu, ostatné plastové časti sú vyrobené z polypropylénu / rám, rukoväť je vyrobená z hliníka a ocele / plastové kolesá s gumovým povrchom 
 • hmotnosť: 4,0 kg 
 • ďalšie informácie: jeho kolieska sa po zložení naplocho zatvoria / 2 x 3 kolieska pre ľahké schody, alebo prekonávanie prahov, dlažobných kociek, iných prekážok / možno uložiť na malom priestore, za nábytkom, pod posteľ / v zloženom stave sa ľahko prenáša</t>
        </is>
      </c>
    </row>
    <row r="1863">
      <c r="A1863" s="3" t="inlineStr">
        <is>
          <t>SXWTD-FT585</t>
        </is>
      </c>
      <c r="B1863" s="2" t="inlineStr">
        <is>
          <t>STANLEY Skladací vozík / rudla 2-in-1, 137 / 70 kg</t>
        </is>
      </c>
      <c r="C1863" s="1" t="n">
        <v>138.9</v>
      </c>
      <c r="D1863" s="7" t="n">
        <f>HYPERLINK("https://www.somogyi.sk/product/stanley-skladaci-vozik-rudla-2-in-1-137-70-kg-sxwtd-ft585-17053","https://www.somogyi.sk/product/stanley-skladaci-vozik-rudla-2-in-1-137-70-kg-sxwtd-ft585-17053")</f>
        <v>0.0</v>
      </c>
      <c r="E1863" s="7" t="n">
        <f>HYPERLINK("https://www.somogyi.sk/productimages/product_main_images/small/17053.jpg","https://www.somogyi.sk/productimages/product_main_images/small/17053.jpg")</f>
        <v>0.0</v>
      </c>
      <c r="F1863" s="2" t="inlineStr">
        <is>
          <t>8717496635853</t>
        </is>
      </c>
      <c r="G1863" s="4" t="inlineStr">
        <is>
          <t xml:space="preserve"> • nosnosť: 137 / 70 kg 
 •  
 • skladací: áno 
 • materiál: odolné časti sú vyrobené z nylonu, ostatné plastové časti sú vyrobené z polypropylénu / rám, rukoväť je vyrobená z hliníka a ocele / plastové kolesá s guličkovými ložiskami a gumovým povrchom 
 • hmotnosť: 7,3 kg</t>
        </is>
      </c>
    </row>
    <row r="1864">
      <c r="A1864" s="6" t="inlineStr">
        <is>
          <t xml:space="preserve">   Príslušenstvo k mobilom, adaptéry / Držiak na mobil</t>
        </is>
      </c>
      <c r="B1864" s="6" t="inlineStr">
        <is>
          <t/>
        </is>
      </c>
      <c r="C1864" s="6" t="inlineStr">
        <is>
          <t/>
        </is>
      </c>
      <c r="D1864" s="6" t="inlineStr">
        <is>
          <t/>
        </is>
      </c>
      <c r="E1864" s="6" t="inlineStr">
        <is>
          <t/>
        </is>
      </c>
      <c r="F1864" s="6" t="inlineStr">
        <is>
          <t/>
        </is>
      </c>
      <c r="G1864" s="6" t="inlineStr">
        <is>
          <t/>
        </is>
      </c>
    </row>
    <row r="1865">
      <c r="A1865" s="3" t="inlineStr">
        <is>
          <t>SA 024</t>
        </is>
      </c>
      <c r="B1865" s="2" t="inlineStr">
        <is>
          <t>Univerzálny držiak do auta, s prísavkou</t>
        </is>
      </c>
      <c r="C1865" s="1" t="n">
        <v>14.99</v>
      </c>
      <c r="D1865" s="7" t="n">
        <f>HYPERLINK("https://www.somogyi.sk/product/univerzalny-drziak-do-auta-s-prisavkou-sa-024-8547","https://www.somogyi.sk/product/univerzalny-drziak-do-auta-s-prisavkou-sa-024-8547")</f>
        <v>0.0</v>
      </c>
      <c r="E1865" s="7" t="n">
        <f>HYPERLINK("https://www.somogyi.sk/productimages/product_main_images/small/08547.jpg","https://www.somogyi.sk/productimages/product_main_images/small/08547.jpg")</f>
        <v>0.0</v>
      </c>
      <c r="F1865" s="2" t="inlineStr">
        <is>
          <t>5998312774427</t>
        </is>
      </c>
      <c r="G1865" s="4" t="inlineStr">
        <is>
          <t xml:space="preserve"> • farba: čierna 
 • vhodný pre zariadenie s rozmermi: max. 115 mm 
 • rozmer držiaka: - 
 • nastavenie držiaka: otočný  o 360° 
 • uchytenie / umiestnenie držiaka: na predné sklo</t>
        </is>
      </c>
    </row>
    <row r="1866">
      <c r="A1866" s="3" t="inlineStr">
        <is>
          <t>SA064</t>
        </is>
      </c>
      <c r="B1866" s="2" t="inlineStr">
        <is>
          <t>Držiak mobilného telefónu do auta, gravitačný</t>
        </is>
      </c>
      <c r="C1866" s="1" t="n">
        <v>4.49</v>
      </c>
      <c r="D1866" s="7" t="n">
        <f>HYPERLINK("https://www.somogyi.sk/product/drziak-mobilneho-telefonu-do-auta-gravitacny-sa064-18374","https://www.somogyi.sk/product/drziak-mobilneho-telefonu-do-auta-gravitacny-sa064-18374")</f>
        <v>0.0</v>
      </c>
      <c r="E1866" s="7" t="n">
        <f>HYPERLINK("https://www.somogyi.sk/productimages/product_main_images/small/18374.jpg","https://www.somogyi.sk/productimages/product_main_images/small/18374.jpg")</f>
        <v>0.0</v>
      </c>
      <c r="F1866" s="2" t="inlineStr">
        <is>
          <t>5999084963927</t>
        </is>
      </c>
      <c r="G1866" s="4" t="inlineStr">
        <is>
          <t xml:space="preserve"> • rozmer držiaka: 115 x 40 mm</t>
        </is>
      </c>
    </row>
    <row r="1867">
      <c r="A1867" s="3" t="inlineStr">
        <is>
          <t>SA 062</t>
        </is>
      </c>
      <c r="B1867" s="2" t="inlineStr">
        <is>
          <t>Držiak mobilu do auta, 2in1</t>
        </is>
      </c>
      <c r="C1867" s="1" t="n">
        <v>4.79</v>
      </c>
      <c r="D1867" s="7" t="n">
        <f>HYPERLINK("https://www.somogyi.sk/product/drziak-mobilu-do-auta-2in1-sa-062-18182","https://www.somogyi.sk/product/drziak-mobilu-do-auta-2in1-sa-062-18182")</f>
        <v>0.0</v>
      </c>
      <c r="E1867" s="7" t="n">
        <f>HYPERLINK("https://www.somogyi.sk/productimages/product_main_images/small/18182.jpg","https://www.somogyi.sk/productimages/product_main_images/small/18182.jpg")</f>
        <v>0.0</v>
      </c>
      <c r="F1867" s="2" t="inlineStr">
        <is>
          <t>5999084962043</t>
        </is>
      </c>
      <c r="G1867" s="4" t="inlineStr">
        <is>
          <t xml:space="preserve"> • farba: čierna farba 
 • vhodný pre zariadenie s rozmermi: max. šírka telefónu: ~ 85 mm 
 • uchytenie / umiestnenie držiaka: dá sa pripevniť na tyč opierky hlavy a otáčať 
 • funkcia: 2v1: držiak na mobilný telefón a vešiak 
 • rozmery: 10-16 mm 
 • ďalšie informácie: nosnosť vešiaka: 4-10 kg (v závislosti od polohy spony)</t>
        </is>
      </c>
    </row>
    <row r="1868">
      <c r="A1868" s="3" t="inlineStr">
        <is>
          <t>SA065</t>
        </is>
      </c>
      <c r="B1868" s="2" t="inlineStr">
        <is>
          <t>Držiak mobilného telefónu na bicykel</t>
        </is>
      </c>
      <c r="C1868" s="1" t="n">
        <v>18.49</v>
      </c>
      <c r="D1868" s="7" t="n">
        <f>HYPERLINK("https://www.somogyi.sk/product/drziak-mobilneho-telefonu-na-bicykel-sa065-18376","https://www.somogyi.sk/product/drziak-mobilneho-telefonu-na-bicykel-sa065-18376")</f>
        <v>0.0</v>
      </c>
      <c r="E1868" s="7" t="n">
        <f>HYPERLINK("https://www.somogyi.sk/productimages/product_main_images/small/18376.jpg","https://www.somogyi.sk/productimages/product_main_images/small/18376.jpg")</f>
        <v>0.0</v>
      </c>
      <c r="F1868" s="2" t="inlineStr">
        <is>
          <t>5999084963941</t>
        </is>
      </c>
      <c r="G1868" s="4" t="inlineStr">
        <is>
          <t xml:space="preserve"> • možno namontovať na riadidlá kolobežiek, bicyklov, elektrických bicyklov, stacionárnych bicyklov, motoriek a kočíkov 
 • masívna, zosilnená príchytka s kovovou skrutkou 
 • otočný a sklopný držiak 
 • bezpečnostná západka pre pevné uchytenie 
 • rohy telefónu sú chránené v prípade pádu alebo nehody 
 • gumové a silikónové vložky pre nekĺzavé upevnenie bez škrabancov 
 • výška / šírka telefónu: ~130-180 / 55-85 mm 
 • priemer riadidiel: 18-45 mm</t>
        </is>
      </c>
    </row>
    <row r="1869">
      <c r="A1869" s="3" t="inlineStr">
        <is>
          <t>SA063</t>
        </is>
      </c>
      <c r="B1869" s="2" t="inlineStr">
        <is>
          <t>Držiak mobilného telefónu do auta</t>
        </is>
      </c>
      <c r="C1869" s="1" t="n">
        <v>12.49</v>
      </c>
      <c r="D1869" s="7" t="n">
        <f>HYPERLINK("https://www.somogyi.sk/product/drziak-mobilneho-telefonu-do-auta-sa063-18375","https://www.somogyi.sk/product/drziak-mobilneho-telefonu-do-auta-sa063-18375")</f>
        <v>0.0</v>
      </c>
      <c r="E1869" s="7" t="n">
        <f>HYPERLINK("https://www.somogyi.sk/productimages/product_main_images/small/18375.jpg","https://www.somogyi.sk/productimages/product_main_images/small/18375.jpg")</f>
        <v>0.0</v>
      </c>
      <c r="F1869" s="2" t="inlineStr">
        <is>
          <t>5999084963934</t>
        </is>
      </c>
      <c r="G1869" s="4" t="inlineStr">
        <is>
          <t xml:space="preserve"> • možno umiestniť na ventilačný otvor vozidla 
 • možno otáčať, nakláňať hore, dole a do strán 
 • jednoručné, rýchle, jednoduché, tiché použitie 
 • upevňovacie háčiky sa otvárajú stlačením tlačidla 
 • spodné nožičky sa dajú vytiahnuť  
 • silikónové povrchy chránia telefón 
 • pevný kovový háčik na horizontálnu alebo vertikálnu ventilačnú lamelu (10 - 36 mm) 
 • do cca. 55 – 95 mm šírky telefónu (cca. 4 - 7” uhlopriečka)</t>
        </is>
      </c>
    </row>
    <row r="1870">
      <c r="A1870" s="3" t="inlineStr">
        <is>
          <t>PCS109X_SG</t>
        </is>
      </c>
      <c r="B1870" s="2" t="inlineStr">
        <is>
          <t>Prestigio ReVolt A9 nabíjacia stanica</t>
        </is>
      </c>
      <c r="C1870" s="1" t="n">
        <v>53.99</v>
      </c>
      <c r="D1870" s="7" t="n">
        <f>HYPERLINK("https://www.somogyi.sk/product/prestigio-revolt-a9-nabijacia-stanica-pcs109x-sg-18069","https://www.somogyi.sk/product/prestigio-revolt-a9-nabijacia-stanica-pcs109x-sg-18069")</f>
        <v>0.0</v>
      </c>
      <c r="E1870" s="7" t="n">
        <f>HYPERLINK("https://www.somogyi.sk/productimages/product_main_images/small/18069.jpg","https://www.somogyi.sk/productimages/product_main_images/small/18069.jpg")</f>
        <v>0.0</v>
      </c>
      <c r="F1870" s="2" t="inlineStr">
        <is>
          <t>8595248151598</t>
        </is>
      </c>
      <c r="G1870" s="4" t="inlineStr">
        <is>
          <t xml:space="preserve"> • rozmer držiaka: 138 x 115 x 75 mm 
 • materiál: hliník   kalené sklo 
 •  
 • príslušenstvo: USB-C kábel 
 • napájanie: 5 / 9 V adaptér 
 • ďalšie informácie: max. výstupný výkon: 10 W</t>
        </is>
      </c>
    </row>
    <row r="1871">
      <c r="A1871" s="6" t="inlineStr">
        <is>
          <t xml:space="preserve">   Príslušenstvo k mobilom, adaptéry / USB nabíjačka</t>
        </is>
      </c>
      <c r="B1871" s="6" t="inlineStr">
        <is>
          <t/>
        </is>
      </c>
      <c r="C1871" s="6" t="inlineStr">
        <is>
          <t/>
        </is>
      </c>
      <c r="D1871" s="6" t="inlineStr">
        <is>
          <t/>
        </is>
      </c>
      <c r="E1871" s="6" t="inlineStr">
        <is>
          <t/>
        </is>
      </c>
      <c r="F1871" s="6" t="inlineStr">
        <is>
          <t/>
        </is>
      </c>
      <c r="G1871" s="6" t="inlineStr">
        <is>
          <t/>
        </is>
      </c>
    </row>
    <row r="1872">
      <c r="A1872" s="3" t="inlineStr">
        <is>
          <t>NEB-PBK-0019-G</t>
        </is>
      </c>
      <c r="B1872" s="2" t="inlineStr">
        <is>
          <t>10K RAPID-PACK Powerbank</t>
        </is>
      </c>
      <c r="C1872" s="1" t="n">
        <v>37.99</v>
      </c>
      <c r="D1872" s="7" t="n">
        <f>HYPERLINK("https://www.somogyi.sk/product/10k-rapid-pack-powerbank-neb-pbk-0019-g-18233","https://www.somogyi.sk/product/10k-rapid-pack-powerbank-neb-pbk-0019-g-18233")</f>
        <v>0.0</v>
      </c>
      <c r="E1872" s="7" t="n">
        <f>HYPERLINK("https://www.somogyi.sk/productimages/product_main_images/small/18233.jpg","https://www.somogyi.sk/productimages/product_main_images/small/18233.jpg")</f>
        <v>0.0</v>
      </c>
      <c r="F1872" s="2" t="inlineStr">
        <is>
          <t>5060945230813</t>
        </is>
      </c>
      <c r="G1872" s="4" t="inlineStr">
        <is>
          <t xml:space="preserve"> • kapacita: 10000 mAh 
 • vstup: vstup a výstup: 1x USB-C (5 V / 2,1 A) 
 • výstup: 1x USB-A (5 V / 2,1 A) 
 •  
 • rozmery: 140 x 69 x 17 mm 
 • hmotnosť: 244 g</t>
        </is>
      </c>
    </row>
    <row r="1873">
      <c r="A1873" s="3" t="inlineStr">
        <is>
          <t>NEB-PBK-0003-G</t>
        </is>
      </c>
      <c r="B1873" s="2" t="inlineStr">
        <is>
          <t>Assist Jump Starter</t>
        </is>
      </c>
      <c r="C1873" s="1" t="n">
        <v>186.9</v>
      </c>
      <c r="D1873" s="7" t="n">
        <f>HYPERLINK("https://www.somogyi.sk/product/assist-jump-starter-neb-pbk-0003-g-18236","https://www.somogyi.sk/product/assist-jump-starter-neb-pbk-0003-g-18236")</f>
        <v>0.0</v>
      </c>
      <c r="E1873" s="7" t="n">
        <f>HYPERLINK("https://www.somogyi.sk/productimages/product_main_images/small/18236.jpg","https://www.somogyi.sk/productimages/product_main_images/small/18236.jpg")</f>
        <v>0.0</v>
      </c>
      <c r="F1873" s="2" t="inlineStr">
        <is>
          <t>5060945230868</t>
        </is>
      </c>
      <c r="G1873" s="4" t="inlineStr">
        <is>
          <t xml:space="preserve"> • vstup: vstup a výstup:1x USB-C rýchlonabíjačka (max. 20 W) 
 • výstup: 2x USB-A (5 V / 2,1 A) 
 • N/A: max.1200 A 
 • zabudovaný akumulátor: 44,4 Wh 
 • LED lampa: 200 lm 
 •  
 • rozmery: 200 x 96 x 40 mm 
 • hmotnosť: 0,7 kg</t>
        </is>
      </c>
    </row>
    <row r="1874">
      <c r="A1874" s="3" t="inlineStr">
        <is>
          <t>NEB-PBK-0004-G</t>
        </is>
      </c>
      <c r="B1874" s="2" t="inlineStr">
        <is>
          <t>Assist Air Jump Starter</t>
        </is>
      </c>
      <c r="C1874" s="1" t="n">
        <v>265.9</v>
      </c>
      <c r="D1874" s="7" t="n">
        <f>HYPERLINK("https://www.somogyi.sk/product/assist-air-jump-starter-neb-pbk-0004-g-18237","https://www.somogyi.sk/product/assist-air-jump-starter-neb-pbk-0004-g-18237")</f>
        <v>0.0</v>
      </c>
      <c r="E1874" s="7" t="n">
        <f>HYPERLINK("https://www.somogyi.sk/productimages/product_main_images/small/18237.jpg","https://www.somogyi.sk/productimages/product_main_images/small/18237.jpg")</f>
        <v>0.0</v>
      </c>
      <c r="F1874" s="2" t="inlineStr">
        <is>
          <t>5060945230875</t>
        </is>
      </c>
      <c r="G1874" s="4" t="inlineStr">
        <is>
          <t xml:space="preserve"> • vstup: vstup a výstup:1x USB-C rýchlonabíjačka (max. 20 W) 
 • výstup: USB-A (5 V / 2,1 A) 
 • N/A: max.1500 A 
 • zabudovaný akumulátor: 55,5 Wh 
 • LED lampa: 200 lm 
 •  
 • rozmery: 251 x 124 x 46 mm 
 • hmotnosť: 1,3 kg</t>
        </is>
      </c>
    </row>
    <row r="1875">
      <c r="A1875" s="3" t="inlineStr">
        <is>
          <t>NEB-PBK-0006-G</t>
        </is>
      </c>
      <c r="B1875" s="2" t="inlineStr">
        <is>
          <t>NEBO ULTIMATE</t>
        </is>
      </c>
      <c r="C1875" s="1" t="n">
        <v>289.9</v>
      </c>
      <c r="D1875" s="7" t="n">
        <f>HYPERLINK("https://www.somogyi.sk/product/nebo-ultimate-neb-pbk-0006-g-18463","https://www.somogyi.sk/product/nebo-ultimate-neb-pbk-0006-g-18463")</f>
        <v>0.0</v>
      </c>
      <c r="E1875" s="7" t="n">
        <f>HYPERLINK("https://www.somogyi.sk/productimages/product_main_images/small/18463.jpg","https://www.somogyi.sk/productimages/product_main_images/small/18463.jpg")</f>
        <v>0.0</v>
      </c>
      <c r="F1875" s="2" t="inlineStr">
        <is>
          <t>5060945230943</t>
        </is>
      </c>
      <c r="G1875" s="4" t="inlineStr">
        <is>
          <t xml:space="preserve"> • kapacita: 55 500 mWh 
 •  
 •  
 •  
 • hmotnosť: 1150 g</t>
        </is>
      </c>
    </row>
    <row r="1876">
      <c r="A1876" s="3" t="inlineStr">
        <is>
          <t>SA 20QCPD</t>
        </is>
      </c>
      <c r="B1876" s="2" t="inlineStr">
        <is>
          <t>USB sieťová nabíjačka, QC PD, 20W</t>
        </is>
      </c>
      <c r="C1876" s="1" t="n">
        <v>14.49</v>
      </c>
      <c r="D1876" s="7" t="n">
        <f>HYPERLINK("https://www.somogyi.sk/product/usb-sietova-nabijacka-qc-pd-20w-sa-20qcpd-18055","https://www.somogyi.sk/product/usb-sietova-nabijacka-qc-pd-20w-sa-20qcpd-18055")</f>
        <v>0.0</v>
      </c>
      <c r="E1876" s="7" t="n">
        <f>HYPERLINK("https://www.somogyi.sk/productimages/product_main_images/small/18055.jpg","https://www.somogyi.sk/productimages/product_main_images/small/18055.jpg")</f>
        <v>0.0</v>
      </c>
      <c r="F1876" s="2" t="inlineStr">
        <is>
          <t>5999084960773</t>
        </is>
      </c>
      <c r="G1876" s="4" t="inlineStr">
        <is>
          <t xml:space="preserve"> • vstup: 100-240V~ 50/60Hz 0.5Amax. 
 • výstup: SEC USB-A: (QC) 5V/3A, 9V/2A, 12V/1.5A • SEC USB-C: (PD) 5V/3A, 9V/2.22A, 12V/1.67A • SEC USB-A USB-C: (QC PD) 5V/3A • QC: 18Wmax, PD: 20Wmax., QC PD: 15Wmax. 
 • farba: biela 
 • výstupná prípojka: USB-A • USB-C</t>
        </is>
      </c>
    </row>
    <row r="1877">
      <c r="A1877" s="3" t="inlineStr">
        <is>
          <t>SA 2000Qi</t>
        </is>
      </c>
      <c r="B1877" s="2" t="inlineStr">
        <is>
          <t>Bezdrôtová nabíjačka, Qi</t>
        </is>
      </c>
      <c r="C1877" s="1" t="n">
        <v>19.99</v>
      </c>
      <c r="D1877" s="7" t="n">
        <f>HYPERLINK("https://www.somogyi.sk/product/bezdrotova-nabijacka-qi-sa-2000qi-17098","https://www.somogyi.sk/product/bezdrotova-nabijacka-qi-sa-2000qi-17098")</f>
        <v>0.0</v>
      </c>
      <c r="E1877" s="7" t="n">
        <f>HYPERLINK("https://www.somogyi.sk/productimages/product_main_images/small/17098.jpg","https://www.somogyi.sk/productimages/product_main_images/small/17098.jpg")</f>
        <v>0.0</v>
      </c>
      <c r="F1877" s="2" t="inlineStr">
        <is>
          <t>5999084951306</t>
        </is>
      </c>
      <c r="G1877" s="4" t="inlineStr">
        <is>
          <t xml:space="preserve"> • farba: biela 
 • ostatné funkcie: - 3in1: nabíjanie telefónu, hodiniek a slúchadiel naraz 
 •  - pohodlné, pripojenie jedným káblom	 
 •  - telefón môžete umiestnite v ležiacej aj stojacej polohe	 
 •  - telefón kompatibilný nezávisle od výrobcu, keď podporuje bezdrôtové nabíjanie podľa normy  Qi 	 
 •  - bezdrôtová nabíjačka hodinieki (napr. iWatch)	 
 •  - nabíjačka slúchadiel má zabudovanú Lightning vidlicu (napr. Airdots)	 
 •  - viacfarebná LED kontrolka nabíjania		 
 •  - rozmery: 200 x 100 x 85 mm 
 •  - Pred kúpou skontrolujte kompatibilitu Vášho zariadenia! Nepoužívajte, keď výrobca odporúča niečo iné!</t>
        </is>
      </c>
    </row>
    <row r="1878">
      <c r="A1878" s="3" t="inlineStr">
        <is>
          <t>SAU 24C</t>
        </is>
      </c>
      <c r="B1878" s="2" t="inlineStr">
        <is>
          <t>Autonabíjačka 2in1</t>
        </is>
      </c>
      <c r="C1878" s="1" t="n">
        <v>6.29</v>
      </c>
      <c r="D1878" s="7" t="n">
        <f>HYPERLINK("https://www.somogyi.sk/product/autonabijacka-2in1-sau-24c-17702","https://www.somogyi.sk/product/autonabijacka-2in1-sau-24c-17702")</f>
        <v>0.0</v>
      </c>
      <c r="E1878" s="7" t="n">
        <f>HYPERLINK("https://www.somogyi.sk/productimages/product_main_images/small/17702.jpg","https://www.somogyi.sk/productimages/product_main_images/small/17702.jpg")</f>
        <v>0.0</v>
      </c>
      <c r="F1878" s="2" t="inlineStr">
        <is>
          <t>5999084957247</t>
        </is>
      </c>
      <c r="G1878" s="4" t="inlineStr">
        <is>
          <t xml:space="preserve"> • vstup: 12 - 24 V DC 
 • výstup: 5 V 2,4 A súhrnná zaťažiteľnosť (USB: 5 V / 2,4 A max. / USB-C: 5 V / 2,1 A max.) 
 • farba: čierna</t>
        </is>
      </c>
    </row>
    <row r="1879">
      <c r="A1879" s="3" t="inlineStr">
        <is>
          <t>SAU 24MU</t>
        </is>
      </c>
      <c r="B1879" s="2" t="inlineStr">
        <is>
          <t>Autonabíjačka 2in1</t>
        </is>
      </c>
      <c r="C1879" s="1" t="n">
        <v>5.79</v>
      </c>
      <c r="D1879" s="7" t="n">
        <f>HYPERLINK("https://www.somogyi.sk/product/autonabijacka-2in1-sau-24mu-17701","https://www.somogyi.sk/product/autonabijacka-2in1-sau-24mu-17701")</f>
        <v>0.0</v>
      </c>
      <c r="E1879" s="7" t="n">
        <f>HYPERLINK("https://www.somogyi.sk/productimages/product_main_images/small/17701.jpg","https://www.somogyi.sk/productimages/product_main_images/small/17701.jpg")</f>
        <v>0.0</v>
      </c>
      <c r="F1879" s="2" t="inlineStr">
        <is>
          <t>5999084957230</t>
        </is>
      </c>
      <c r="G1879" s="4" t="inlineStr">
        <is>
          <t xml:space="preserve"> • vstup: 12 - 24 V DC 
 • výstup: 5 V 2,4 A súhrnná zaťažiteľnosť (USB: 5 V / 2,4 A max. / microUSB: 5 V / 2,1 A max.) 
 • farba: čierna</t>
        </is>
      </c>
    </row>
    <row r="1880">
      <c r="A1880" s="3" t="inlineStr">
        <is>
          <t>NEB-PBK-0010-G</t>
        </is>
      </c>
      <c r="B1880" s="2" t="inlineStr">
        <is>
          <t>10K RAPID-PACK WIRELESS Powerbank</t>
        </is>
      </c>
      <c r="C1880" s="1" t="n">
        <v>52.99</v>
      </c>
      <c r="D1880" s="7" t="n">
        <f>HYPERLINK("https://www.somogyi.sk/product/10k-rapid-pack-wireless-powerbank-neb-pbk-0010-g-18234","https://www.somogyi.sk/product/10k-rapid-pack-wireless-powerbank-neb-pbk-0010-g-18234")</f>
        <v>0.0</v>
      </c>
      <c r="E1880" s="7" t="n">
        <f>HYPERLINK("https://www.somogyi.sk/productimages/product_main_images/small/18234.jpg","https://www.somogyi.sk/productimages/product_main_images/small/18234.jpg")</f>
        <v>0.0</v>
      </c>
      <c r="F1880" s="2" t="inlineStr">
        <is>
          <t>5060945230837</t>
        </is>
      </c>
      <c r="G1880" s="4" t="inlineStr">
        <is>
          <t xml:space="preserve"> • kapacita: 10000 mAh 
 • vstup: vstup a výstup: 1x USB-C (5 V / 2,1 A) 
 • výstup: 1x USB-A (5 V / 2,1 A) 
 •  
 • rozmery: 143 x 71 x 30 mm 
 • hmotnosť: 242 g</t>
        </is>
      </c>
    </row>
    <row r="1881">
      <c r="A1881" s="3" t="inlineStr">
        <is>
          <t>NEB-PBK-0029-G</t>
        </is>
      </c>
      <c r="B1881" s="2" t="inlineStr">
        <is>
          <t>20K RAPID-PACK Powerbank</t>
        </is>
      </c>
      <c r="C1881" s="1" t="n">
        <v>65.99</v>
      </c>
      <c r="D1881" s="7" t="n">
        <f>HYPERLINK("https://www.somogyi.sk/product/20k-rapid-pack-powerbank-neb-pbk-0029-g-18235","https://www.somogyi.sk/product/20k-rapid-pack-powerbank-neb-pbk-0029-g-18235")</f>
        <v>0.0</v>
      </c>
      <c r="E1881" s="7" t="n">
        <f>HYPERLINK("https://www.somogyi.sk/productimages/product_main_images/small/18235.jpg","https://www.somogyi.sk/productimages/product_main_images/small/18235.jpg")</f>
        <v>0.0</v>
      </c>
      <c r="F1881" s="2" t="inlineStr">
        <is>
          <t>5060945230820</t>
        </is>
      </c>
      <c r="G1881" s="4" t="inlineStr">
        <is>
          <t xml:space="preserve"> • kapacita: 20000 mAh 
 • vstup: vstup a výstup: 1x USB-C (5 V / 2,1 A) 
 • výstup: 1x USB-A (5 V / 2,1 A) 
 •  
 • rozmery: 143 x 71 x 30 mm 
 • hmotnosť: 433 g</t>
        </is>
      </c>
    </row>
    <row r="1882">
      <c r="A1882" s="3" t="inlineStr">
        <is>
          <t>NEB-PST-0004-G</t>
        </is>
      </c>
      <c r="B1882" s="2" t="inlineStr">
        <is>
          <t>RAMBLER PS100</t>
        </is>
      </c>
      <c r="C1882" s="1" t="n">
        <v>268.9</v>
      </c>
      <c r="D1882" s="7" t="n">
        <f>HYPERLINK("https://www.somogyi.sk/product/rambler-ps100-neb-pst-0004-g-18238","https://www.somogyi.sk/product/rambler-ps100-neb-pst-0004-g-18238")</f>
        <v>0.0</v>
      </c>
      <c r="E1882" s="7" t="n">
        <f>HYPERLINK("https://www.somogyi.sk/productimages/product_main_images/small/18238.jpg","https://www.somogyi.sk/productimages/product_main_images/small/18238.jpg")</f>
        <v>0.0</v>
      </c>
      <c r="F1882" s="2" t="inlineStr">
        <is>
          <t>5060945230844</t>
        </is>
      </c>
      <c r="G1882" s="4" t="inlineStr">
        <is>
          <t xml:space="preserve"> • vstup: vstup a výstup: 1x USB-C PD (45 W) • DC vstup: 12-24 V (max. 50 W), kompatibilný so solárnym panelom 
 • výstup: 2x USB-A (5 V / 2,4 A) 
 •  
 • LED lampa: 385 lm 
 • príslušenstvo: 20 W nabíjací adaptér USB-PD, cca. 60 cm USB-C kábel, 12 V DC napájací kábel</t>
        </is>
      </c>
    </row>
    <row r="1883">
      <c r="A1883" s="3" t="inlineStr">
        <is>
          <t>SA 50USB</t>
        </is>
      </c>
      <c r="B1883" s="2" t="inlineStr">
        <is>
          <t>USB sieťová nabíjačka,, 4x 3.1A, SUM 5A</t>
        </is>
      </c>
      <c r="C1883" s="1" t="n">
        <v>16.99</v>
      </c>
      <c r="D1883" s="7" t="n">
        <f>HYPERLINK("https://www.somogyi.sk/product/usb-sietova-nabijacka-4x-3-1a-sum-5a-sa-50usb-16881","https://www.somogyi.sk/product/usb-sietova-nabijacka-4x-3-1a-sum-5a-sa-50usb-16881")</f>
        <v>0.0</v>
      </c>
      <c r="E1883" s="7" t="n">
        <f>HYPERLINK("https://www.somogyi.sk/productimages/product_main_images/small/16881.jpg","https://www.somogyi.sk/productimages/product_main_images/small/16881.jpg")</f>
        <v>0.0</v>
      </c>
      <c r="F1883" s="2" t="inlineStr">
        <is>
          <t>5999084949136</t>
        </is>
      </c>
      <c r="G1883" s="4" t="inlineStr">
        <is>
          <t xml:space="preserve"> • vstup: 100 - 240 V~  / 50 - 60 Hz 
 • výstup: 4 x 5 V / Σ 3,1 A max. 
 • farba: biela 
 • výstupná prípojka: 4 x USB-A zásuvka 
 • ostatné funkcie: nabíjanie 2 prístrojov naraz</t>
        </is>
      </c>
    </row>
    <row r="1884">
      <c r="A1884" s="3" t="inlineStr">
        <is>
          <t>SA 24USB</t>
        </is>
      </c>
      <c r="B1884" s="2" t="inlineStr">
        <is>
          <t>USB sieťová nabíjačka, 2.4A</t>
        </is>
      </c>
      <c r="C1884" s="1" t="n">
        <v>8.89</v>
      </c>
      <c r="D1884" s="7" t="n">
        <f>HYPERLINK("https://www.somogyi.sk/product/usb-sietova-nabijacka-2-4a-sa-24usb-16880","https://www.somogyi.sk/product/usb-sietova-nabijacka-2-4a-sa-24usb-16880")</f>
        <v>0.0</v>
      </c>
      <c r="E1884" s="7" t="n">
        <f>HYPERLINK("https://www.somogyi.sk/productimages/product_main_images/small/16880.jpg","https://www.somogyi.sk/productimages/product_main_images/small/16880.jpg")</f>
        <v>0.0</v>
      </c>
      <c r="F1884" s="2" t="inlineStr">
        <is>
          <t>5999084949129</t>
        </is>
      </c>
      <c r="G1884" s="4" t="inlineStr">
        <is>
          <t xml:space="preserve"> • vstup: 100 - 240 V~  / 50 - 60 Hz 
 • výstup: 2 x 5 V / Σ 2,4 A max. 
 • farba: biela 
 • výstupná prípojka: 2 x USB-A zásuvka 
 • ostatné funkcie: nabíjanie 2 prístrojov naraz</t>
        </is>
      </c>
    </row>
    <row r="1885">
      <c r="A1885" s="3" t="inlineStr">
        <is>
          <t>SAU 96</t>
        </is>
      </c>
      <c r="B1885" s="2" t="inlineStr">
        <is>
          <t>USB rýchlonabíjačka do auta, 4x2,4A</t>
        </is>
      </c>
      <c r="C1885" s="1" t="n">
        <v>11.49</v>
      </c>
      <c r="D1885" s="7" t="n">
        <f>HYPERLINK("https://www.somogyi.sk/product/usb-rychlonabijacka-do-auta-4x2-4a-sau-96-16877","https://www.somogyi.sk/product/usb-rychlonabijacka-do-auta-4x2-4a-sau-96-16877")</f>
        <v>0.0</v>
      </c>
      <c r="E1885" s="7" t="n">
        <f>HYPERLINK("https://www.somogyi.sk/productimages/product_main_images/small/16877.jpg","https://www.somogyi.sk/productimages/product_main_images/small/16877.jpg")</f>
        <v>0.0</v>
      </c>
      <c r="F1885" s="2" t="inlineStr">
        <is>
          <t>5999084949099</t>
        </is>
      </c>
      <c r="G1885" s="4" t="inlineStr">
        <is>
          <t xml:space="preserve"> • vstup: 12 - 24 V DC 
 • výstup: 4 x 5 V / Σ 4,8 A max. 
 • farba: čierna 
 • dĺžka kábla: 1,8 m 
 • výstupná prípojka: 4 x USB-A zásuvka</t>
        </is>
      </c>
    </row>
    <row r="1886">
      <c r="A1886" s="3" t="inlineStr">
        <is>
          <t>3.100110</t>
        </is>
      </c>
      <c r="B1886" s="2" t="inlineStr">
        <is>
          <t>Q2 power USB nabíjačka do auta "Triple USB Car Charger Micro USB Connector"</t>
        </is>
      </c>
      <c r="C1886" s="1" t="n">
        <v>5.39</v>
      </c>
      <c r="D1886" s="7" t="n">
        <f>HYPERLINK("https://www.somogyi.sk/product/q2-power-usb-nabijacka-do-auta-triple-usb-car-charger-micro-usb-connector-3-100110-15949","https://www.somogyi.sk/product/q2-power-usb-nabijacka-do-auta-triple-usb-car-charger-micro-usb-connector-3-100110-15949")</f>
        <v>0.0</v>
      </c>
      <c r="E1886" s="7" t="n">
        <f>HYPERLINK("https://www.somogyi.sk/productimages/product_main_images/small/15949.jpg","https://www.somogyi.sk/productimages/product_main_images/small/15949.jpg")</f>
        <v>0.0</v>
      </c>
      <c r="F1886" s="2" t="inlineStr">
        <is>
          <t>7640167560295</t>
        </is>
      </c>
      <c r="G1886" s="4" t="inlineStr">
        <is>
          <t xml:space="preserve"> • vstup: 12 - 24 V DC 
 • výstup: 2 x 5 V DC / Σ 3,1 A max. 
 • dĺžka kábla: 20 cm 
 • výstupná prípojka: 2 x USB-A zásuvka, 1 x micro USB vidlica</t>
        </is>
      </c>
    </row>
    <row r="1887">
      <c r="A1887" s="3" t="inlineStr">
        <is>
          <t>3.100130</t>
        </is>
      </c>
      <c r="B1887" s="2" t="inlineStr">
        <is>
          <t>Q2 power USB nabíjačka do auta "Triple USB Car Charger USB Type C Connector"</t>
        </is>
      </c>
      <c r="C1887" s="1" t="n">
        <v>6.69</v>
      </c>
      <c r="D1887" s="7" t="n">
        <f>HYPERLINK("https://www.somogyi.sk/product/q2-power-usb-nabijacka-do-auta-triple-usb-car-charger-usb-type-c-connector-3-100130-15951","https://www.somogyi.sk/product/q2-power-usb-nabijacka-do-auta-triple-usb-car-charger-usb-type-c-connector-3-100130-15951")</f>
        <v>0.0</v>
      </c>
      <c r="E1887" s="7" t="n">
        <f>HYPERLINK("https://www.somogyi.sk/productimages/product_main_images/small/15951.jpg","https://www.somogyi.sk/productimages/product_main_images/small/15951.jpg")</f>
        <v>0.0</v>
      </c>
      <c r="F1887" s="2" t="inlineStr">
        <is>
          <t>7640167560318</t>
        </is>
      </c>
      <c r="G1887" s="4" t="inlineStr">
        <is>
          <t xml:space="preserve"> • vstup: 12 - 24 V DC 
 • výstup: 2 x 5 V DC / Σ 3,1 A max. 
 • dĺžka kábla: 20 cm 
 • ostatné funkcie: 2 x USB-A zásuvka, 1 x USB "C"</t>
        </is>
      </c>
    </row>
    <row r="1888">
      <c r="A1888" s="3" t="inlineStr">
        <is>
          <t>SA 144</t>
        </is>
      </c>
      <c r="B1888" s="2" t="inlineStr">
        <is>
          <t>Nabíjačka do auta/predlžovačka, 3,6 m</t>
        </is>
      </c>
      <c r="C1888" s="1" t="n">
        <v>9.99</v>
      </c>
      <c r="D1888" s="7" t="n">
        <f>HYPERLINK("https://www.somogyi.sk/product/nabijacka-do-auta-predlzovacka-3-6-m-sa-144-16699","https://www.somogyi.sk/product/nabijacka-do-auta-predlzovacka-3-6-m-sa-144-16699")</f>
        <v>0.0</v>
      </c>
      <c r="E1888" s="7" t="n">
        <f>HYPERLINK("https://www.somogyi.sk/productimages/product_main_images/small/16699.jpg","https://www.somogyi.sk/productimages/product_main_images/small/16699.jpg")</f>
        <v>0.0</v>
      </c>
      <c r="F1888" s="2" t="inlineStr">
        <is>
          <t>5999084947316</t>
        </is>
      </c>
      <c r="G1888" s="4" t="inlineStr">
        <is>
          <t xml:space="preserve"> • vstup: 12 V - 10 Amax 
 • výstup: USB 5 V - 2,4 Amax. 
 • farba: čierna (predlžovací prívod: žltá) 
 • dĺžka kábla: 3,6 m 
 • ostatné funkcie: • 2in1: 12 V predlžovačka a USB rýchlonabíjačka 
 • • pre nabíjanie telefónov vzadu sediacich pasažierov alebo pre napájanie chladiaceho boxu v kufri vozidla 
 • • priskrutkovateľný držiak pre pripojovaciu zásuvku, rýchle uvoľnenie 
 • • modrá LED kontrolka, gumový ochranný kryt proti prachu 
 • • poistka vo vidlici (F15A / ∅6 x 30 mm)</t>
        </is>
      </c>
    </row>
    <row r="1889">
      <c r="A1889" s="6" t="inlineStr">
        <is>
          <t xml:space="preserve">   Príslušenstvo k mobilom, adaptéry / USB pripojovací kábel</t>
        </is>
      </c>
      <c r="B1889" s="6" t="inlineStr">
        <is>
          <t/>
        </is>
      </c>
      <c r="C1889" s="6" t="inlineStr">
        <is>
          <t/>
        </is>
      </c>
      <c r="D1889" s="6" t="inlineStr">
        <is>
          <t/>
        </is>
      </c>
      <c r="E1889" s="6" t="inlineStr">
        <is>
          <t/>
        </is>
      </c>
      <c r="F1889" s="6" t="inlineStr">
        <is>
          <t/>
        </is>
      </c>
      <c r="G1889" s="6" t="inlineStr">
        <is>
          <t/>
        </is>
      </c>
    </row>
    <row r="1890">
      <c r="A1890" s="3" t="inlineStr">
        <is>
          <t>USBCC 60</t>
        </is>
      </c>
      <c r="B1890" s="2" t="inlineStr">
        <is>
          <t>USB C-C nabíjací kábel, 60W, 1m, biely</t>
        </is>
      </c>
      <c r="C1890" s="1" t="n">
        <v>6.89</v>
      </c>
      <c r="D1890" s="7" t="n">
        <f>HYPERLINK("https://www.somogyi.sk/product/usb-c-c-nabijaci-kabel-60w-1m-biely-usbcc-60-18179","https://www.somogyi.sk/product/usb-c-c-nabijaci-kabel-60w-1m-biely-usbcc-60-18179")</f>
        <v>0.0</v>
      </c>
      <c r="E1890" s="7" t="n">
        <f>HYPERLINK("https://www.somogyi.sk/productimages/product_main_images/small/18179.jpg","https://www.somogyi.sk/productimages/product_main_images/small/18179.jpg")</f>
        <v>0.0</v>
      </c>
      <c r="F1890" s="2" t="inlineStr">
        <is>
          <t>5999084962012</t>
        </is>
      </c>
      <c r="G1890" s="4" t="inlineStr">
        <is>
          <t xml:space="preserve"> • rozmer vidlice: USB C-C 
 • dĺžka kábla: ∼1 m 
 • farba: biela 
 • max. prúd: 3 A 
 • ostatné funkcie: zvyčajne funguje aj ako dátový kábel (max.480 Mbps)</t>
        </is>
      </c>
    </row>
    <row r="1891">
      <c r="A1891" s="3" t="inlineStr">
        <is>
          <t>USB A/MICRO-1</t>
        </is>
      </c>
      <c r="B1891" s="2" t="inlineStr">
        <is>
          <t>Nabíjací kábel, micro USB, 1m</t>
        </is>
      </c>
      <c r="C1891" s="1" t="n">
        <v>2.59</v>
      </c>
      <c r="D1891" s="7" t="n">
        <f>HYPERLINK("https://www.somogyi.sk/product/nabijaci-kabel-micro-usb-1m-usb-a-micro-1-10265","https://www.somogyi.sk/product/nabijaci-kabel-micro-usb-1m-usb-a-micro-1-10265")</f>
        <v>0.0</v>
      </c>
      <c r="E1891" s="7" t="n">
        <f>HYPERLINK("https://www.somogyi.sk/productimages/product_main_images/small/10265.jpg","https://www.somogyi.sk/productimages/product_main_images/small/10265.jpg")</f>
        <v>0.0</v>
      </c>
      <c r="F1891" s="2" t="inlineStr">
        <is>
          <t>5998312788745</t>
        </is>
      </c>
      <c r="G1891" s="4" t="inlineStr">
        <is>
          <t xml:space="preserve"> • rozmer vidlice: USB-A vidlica / microUSB-B 
 • dĺžka kábla: 100 cm 
 • farba: čierna 
 • max. prúd: 1 A 
 • ostatné funkcie: väčšinou slúži aj ako dátový kábel</t>
        </is>
      </c>
    </row>
    <row r="1892">
      <c r="A1892" s="3" t="inlineStr">
        <is>
          <t>USBC A1</t>
        </is>
      </c>
      <c r="B1892" s="2" t="inlineStr">
        <is>
          <t>USB-C/microUSB-B redukcia</t>
        </is>
      </c>
      <c r="C1892" s="1" t="n">
        <v>4.59</v>
      </c>
      <c r="D1892" s="7" t="n">
        <f>HYPERLINK("https://www.somogyi.sk/product/usb-c-microusb-b-redukcia-usbc-a1-15820","https://www.somogyi.sk/product/usb-c-microusb-b-redukcia-usbc-a1-15820")</f>
        <v>0.0</v>
      </c>
      <c r="E1892" s="7" t="n">
        <f>HYPERLINK("https://www.somogyi.sk/productimages/product_main_images/small/15820.jpg","https://www.somogyi.sk/productimages/product_main_images/small/15820.jpg")</f>
        <v>0.0</v>
      </c>
      <c r="F1892" s="2" t="inlineStr">
        <is>
          <t>5999084938543</t>
        </is>
      </c>
      <c r="G1892" s="4" t="inlineStr">
        <is>
          <t xml:space="preserve"> • rozmer vidlice: micro USB-B zásuvka / USB-C vidlica 
 • max. prúd: 2,1 A</t>
        </is>
      </c>
    </row>
    <row r="1893">
      <c r="A1893" s="3" t="inlineStr">
        <is>
          <t>USBF 3</t>
        </is>
      </c>
      <c r="B1893" s="2" t="inlineStr">
        <is>
          <t>Nabíjací kábel, micro USB</t>
        </is>
      </c>
      <c r="C1893" s="1" t="n">
        <v>3.79</v>
      </c>
      <c r="D1893" s="7" t="n">
        <f>HYPERLINK("https://www.somogyi.sk/product/nabijaci-kabel-micro-usb-usbf-3-15768","https://www.somogyi.sk/product/nabijaci-kabel-micro-usb-usbf-3-15768")</f>
        <v>0.0</v>
      </c>
      <c r="E1893" s="7" t="n">
        <f>HYPERLINK("https://www.somogyi.sk/productimages/product_main_images/small/15768.jpg","https://www.somogyi.sk/productimages/product_main_images/small/15768.jpg")</f>
        <v>0.0</v>
      </c>
      <c r="F1893" s="2" t="inlineStr">
        <is>
          <t>5999084938024</t>
        </is>
      </c>
      <c r="G1893" s="4" t="inlineStr">
        <is>
          <t xml:space="preserve"> • rozmer vidlice: USB-A vidlica / microUSB-B vidlica 
 • dĺžka kábla: 3 m 
 • farba: čierna 
 • max. prúd: 2,1 A 
 • ostatné funkcie: vidlice sa dajú zapojiť aj opačne, plochý kábel, pozlátený</t>
        </is>
      </c>
    </row>
    <row r="1894">
      <c r="A1894" s="3" t="inlineStr">
        <is>
          <t>USBC A2</t>
        </is>
      </c>
      <c r="B1894" s="2" t="inlineStr">
        <is>
          <t>USB-C zásuvka - USB-A vidlica redukcia, kovová</t>
        </is>
      </c>
      <c r="C1894" s="1" t="n">
        <v>4.49</v>
      </c>
      <c r="D1894" s="7" t="n">
        <f>HYPERLINK("https://www.somogyi.sk/product/usb-c-zasuvka-usb-a-vidlica-redukcia-kovova-usbc-a2-18181","https://www.somogyi.sk/product/usb-c-zasuvka-usb-a-vidlica-redukcia-kovova-usbc-a2-18181")</f>
        <v>0.0</v>
      </c>
      <c r="E1894" s="7" t="n">
        <f>HYPERLINK("https://www.somogyi.sk/productimages/product_main_images/small/18181.jpg","https://www.somogyi.sk/productimages/product_main_images/small/18181.jpg")</f>
        <v>0.0</v>
      </c>
      <c r="F1894" s="2" t="inlineStr">
        <is>
          <t>5999084962036</t>
        </is>
      </c>
      <c r="G1894" s="4" t="inlineStr">
        <is>
          <t xml:space="preserve"> • farba: čierna 
 • max. prúd: 2,1 A 
 • funkcia: menič 
 • ostatné funkcie: zvyčajne funguje aj ako dátový kábel</t>
        </is>
      </c>
    </row>
    <row r="1895">
      <c r="A1895" s="3" t="inlineStr">
        <is>
          <t>USBM 1</t>
        </is>
      </c>
      <c r="B1895" s="2" t="inlineStr">
        <is>
          <t>microUSB nabíjací kábel, 1m, biela</t>
        </is>
      </c>
      <c r="C1895" s="1" t="n">
        <v>2.99</v>
      </c>
      <c r="D1895" s="7" t="n">
        <f>HYPERLINK("https://www.somogyi.sk/product/microusb-nabijaci-kabel-1m-biela-usbm-1-17094","https://www.somogyi.sk/product/microusb-nabijaci-kabel-1m-biela-usbm-1-17094")</f>
        <v>0.0</v>
      </c>
      <c r="E1895" s="7" t="n">
        <f>HYPERLINK("https://www.somogyi.sk/productimages/product_main_images/small/17094.jpg","https://www.somogyi.sk/productimages/product_main_images/small/17094.jpg")</f>
        <v>0.0</v>
      </c>
      <c r="F1895" s="2" t="inlineStr">
        <is>
          <t>5999084951269</t>
        </is>
      </c>
      <c r="G1895" s="4" t="inlineStr">
        <is>
          <t xml:space="preserve"> • rozmer vidlice: USB-A vidlica / micro USB vidlica 
 • dĺžka kábla: 100 cm 
 • farba: biela 
 • max. prúd: 2,1 A</t>
        </is>
      </c>
    </row>
    <row r="1896">
      <c r="A1896" s="3" t="inlineStr">
        <is>
          <t>USBC 1</t>
        </is>
      </c>
      <c r="B1896" s="2" t="inlineStr">
        <is>
          <t>Nabíjací kábel, USB-C</t>
        </is>
      </c>
      <c r="C1896" s="1" t="n">
        <v>5.39</v>
      </c>
      <c r="D1896" s="7" t="n">
        <f>HYPERLINK("https://www.somogyi.sk/product/nabijaci-kabel-usb-c-usbc-1-15819","https://www.somogyi.sk/product/nabijaci-kabel-usb-c-usbc-1-15819")</f>
        <v>0.0</v>
      </c>
      <c r="E1896" s="7" t="n">
        <f>HYPERLINK("https://www.somogyi.sk/productimages/product_main_images/small/15819.jpg","https://www.somogyi.sk/productimages/product_main_images/small/15819.jpg")</f>
        <v>0.0</v>
      </c>
      <c r="F1896" s="2" t="inlineStr">
        <is>
          <t>5999084938536</t>
        </is>
      </c>
      <c r="G1896" s="4" t="inlineStr">
        <is>
          <t xml:space="preserve"> • rozmer vidlice: USB-A vidlica / USB-C 
 • dĺžka kábla: 1 m 
 • farba: biela 
 • max. prúd: 2,1 A</t>
        </is>
      </c>
    </row>
    <row r="1897">
      <c r="A1897" s="3" t="inlineStr">
        <is>
          <t>USBF 2</t>
        </is>
      </c>
      <c r="B1897" s="2" t="inlineStr">
        <is>
          <t>Nabíjací kábel microUSB</t>
        </is>
      </c>
      <c r="C1897" s="1" t="n">
        <v>4.59</v>
      </c>
      <c r="D1897" s="7" t="n">
        <f>HYPERLINK("https://www.somogyi.sk/product/nabijaci-kabel-microusb-usbf-2-17082","https://www.somogyi.sk/product/nabijaci-kabel-microusb-usbf-2-17082")</f>
        <v>0.0</v>
      </c>
      <c r="E1897" s="7" t="n">
        <f>HYPERLINK("https://www.somogyi.sk/productimages/product_main_images/small/17082.jpg","https://www.somogyi.sk/productimages/product_main_images/small/17082.jpg")</f>
        <v>0.0</v>
      </c>
      <c r="F1897" s="2" t="inlineStr">
        <is>
          <t>5999084951146</t>
        </is>
      </c>
      <c r="G1897" s="4" t="inlineStr">
        <is>
          <t xml:space="preserve"> • rozmer vidlice: USB-A zásuvka / micro USB-B vidlica 
 • dĺžka kábla: 2 m 
 • farba: čierna 
 • max. prúd: 2,1 A</t>
        </is>
      </c>
    </row>
    <row r="1898">
      <c r="A1898" s="3" t="inlineStr">
        <is>
          <t>USBF 1</t>
        </is>
      </c>
      <c r="B1898" s="2" t="inlineStr">
        <is>
          <t>Nabíjací kábel, micro USB</t>
        </is>
      </c>
      <c r="C1898" s="1" t="n">
        <v>2.09</v>
      </c>
      <c r="D1898" s="7" t="n">
        <f>HYPERLINK("https://www.somogyi.sk/product/nabijaci-kabel-micro-usb-usbf-1-15767","https://www.somogyi.sk/product/nabijaci-kabel-micro-usb-usbf-1-15767")</f>
        <v>0.0</v>
      </c>
      <c r="E1898" s="7" t="n">
        <f>HYPERLINK("https://www.somogyi.sk/productimages/product_main_images/small/15767.jpg","https://www.somogyi.sk/productimages/product_main_images/small/15767.jpg")</f>
        <v>0.0</v>
      </c>
      <c r="F1898" s="2" t="inlineStr">
        <is>
          <t>5999084938017</t>
        </is>
      </c>
      <c r="G1898" s="4" t="inlineStr">
        <is>
          <t xml:space="preserve"> • rozmer vidlice: USB-A vidlica / microUSB-B vidlica 
 • dĺžka kábla: 1 m 
 • farba: čierna 
 • max. prúd: 2,1 A 
 • ostatné funkcie: vidlice sa dajú zapojiť aj opačne, plochý kábel, pozlátený</t>
        </is>
      </c>
    </row>
    <row r="1899">
      <c r="A1899" s="3" t="inlineStr">
        <is>
          <t>USB MULTI</t>
        </is>
      </c>
      <c r="B1899" s="2" t="inlineStr">
        <is>
          <t>USB nabíjací kábell, 4in1, 1.5m</t>
        </is>
      </c>
      <c r="C1899" s="1" t="n">
        <v>11.99</v>
      </c>
      <c r="D1899" s="7" t="n">
        <f>HYPERLINK("https://www.somogyi.sk/product/usb-nabijaci-kabell-4in1-1-5m-usb-multi-17085","https://www.somogyi.sk/product/usb-nabijaci-kabell-4in1-1-5m-usb-multi-17085")</f>
        <v>0.0</v>
      </c>
      <c r="E1899" s="7" t="n">
        <f>HYPERLINK("https://www.somogyi.sk/productimages/product_main_images/small/17085.jpg","https://www.somogyi.sk/productimages/product_main_images/small/17085.jpg")</f>
        <v>0.0</v>
      </c>
      <c r="F1899" s="2" t="inlineStr">
        <is>
          <t>5999084951177</t>
        </is>
      </c>
      <c r="G1899" s="4" t="inlineStr">
        <is>
          <t xml:space="preserve"> • rozmer vidlice: C-C / C-microUSB / C-USB A / USB A-microUSB 
 • dĺžka kábla: 1,5 m 
 • farba: čierna / strieborná 
 • max. prúd: 3 A</t>
        </is>
      </c>
    </row>
    <row r="1900">
      <c r="A1900" s="3" t="inlineStr">
        <is>
          <t>SA 044</t>
        </is>
      </c>
      <c r="B1900" s="2" t="inlineStr">
        <is>
          <t>OTG kábel, 0,16 m</t>
        </is>
      </c>
      <c r="C1900" s="1" t="n">
        <v>2.69</v>
      </c>
      <c r="D1900" s="7" t="n">
        <f>HYPERLINK("https://www.somogyi.sk/product/otg-kabel-0-16-m-sa-044-13662","https://www.somogyi.sk/product/otg-kabel-0-16-m-sa-044-13662")</f>
        <v>0.0</v>
      </c>
      <c r="E1900" s="7" t="n">
        <f>HYPERLINK("https://www.somogyi.sk/productimages/product_main_images/small/13662.jpg","https://www.somogyi.sk/productimages/product_main_images/small/13662.jpg")</f>
        <v>0.0</v>
      </c>
      <c r="F1900" s="2" t="inlineStr">
        <is>
          <t>5999084917142</t>
        </is>
      </c>
      <c r="G1900" s="4" t="inlineStr">
        <is>
          <t xml:space="preserve"> • rozmer vidlice: USB-A zásuvka / micro USB-B vidlica 
 • dĺžka kábla: 16 cm 
 • farba: biela 
 • max. prúd: 2,1 A</t>
        </is>
      </c>
    </row>
    <row r="1901">
      <c r="A1901" s="3" t="inlineStr">
        <is>
          <t>USBC OTG</t>
        </is>
      </c>
      <c r="B1901" s="2" t="inlineStr">
        <is>
          <t>OTG kábel, USB-C vidlica - USB zásuvka</t>
        </is>
      </c>
      <c r="C1901" s="1" t="n">
        <v>3.99</v>
      </c>
      <c r="D1901" s="7" t="n">
        <f>HYPERLINK("https://www.somogyi.sk/product/otg-kabel-usb-c-vidlica-usb-zasuvka-usbc-otg-18180","https://www.somogyi.sk/product/otg-kabel-usb-c-vidlica-usb-zasuvka-usbc-otg-18180")</f>
        <v>0.0</v>
      </c>
      <c r="E1901" s="7" t="n">
        <f>HYPERLINK("https://www.somogyi.sk/productimages/product_main_images/small/18180.jpg","https://www.somogyi.sk/productimages/product_main_images/small/18180.jpg")</f>
        <v>0.0</v>
      </c>
      <c r="F1901" s="2" t="inlineStr">
        <is>
          <t>5999084962029</t>
        </is>
      </c>
      <c r="G1901" s="4" t="inlineStr">
        <is>
          <t xml:space="preserve"> • dĺžka kábla: ∼16 cm 
 • farba: biela 
 • max. prúd: 2,1 A 
 •  
 • ďalšie informácie: použitie závisí od mobilného zariadenia</t>
        </is>
      </c>
    </row>
    <row r="1902">
      <c r="A1902" s="3" t="inlineStr">
        <is>
          <t>USBF C2</t>
        </is>
      </c>
      <c r="B1902" s="2" t="inlineStr">
        <is>
          <t>USB-C nabíjací kábel, plochý, 2m</t>
        </is>
      </c>
      <c r="C1902" s="1" t="n">
        <v>5.69</v>
      </c>
      <c r="D1902" s="7" t="n">
        <f>HYPERLINK("https://www.somogyi.sk/product/usb-c-nabijaci-kabel-plochy-2m-usbf-c2-17081","https://www.somogyi.sk/product/usb-c-nabijaci-kabel-plochy-2m-usbf-c2-17081")</f>
        <v>0.0</v>
      </c>
      <c r="E1902" s="7" t="n">
        <f>HYPERLINK("https://www.somogyi.sk/productimages/product_main_images/small/17081.jpg","https://www.somogyi.sk/productimages/product_main_images/small/17081.jpg")</f>
        <v>0.0</v>
      </c>
      <c r="F1902" s="2" t="inlineStr">
        <is>
          <t>5999084951139</t>
        </is>
      </c>
      <c r="G1902" s="4" t="inlineStr">
        <is>
          <t xml:space="preserve"> • rozmer vidlice: USB-A vidlica / USB-C vidlica 
 • dĺžka kábla: 2 m 
 • farba: čierna / strieborná 
 • max. prúd: 2,1 A max</t>
        </is>
      </c>
    </row>
    <row r="1903">
      <c r="A1903" s="6" t="inlineStr">
        <is>
          <t xml:space="preserve">   Príslušenstvo k mobilom, adaptéry / Taška na tablet</t>
        </is>
      </c>
      <c r="B1903" s="6" t="inlineStr">
        <is>
          <t/>
        </is>
      </c>
      <c r="C1903" s="6" t="inlineStr">
        <is>
          <t/>
        </is>
      </c>
      <c r="D1903" s="6" t="inlineStr">
        <is>
          <t/>
        </is>
      </c>
      <c r="E1903" s="6" t="inlineStr">
        <is>
          <t/>
        </is>
      </c>
      <c r="F1903" s="6" t="inlineStr">
        <is>
          <t/>
        </is>
      </c>
      <c r="G1903" s="6" t="inlineStr">
        <is>
          <t/>
        </is>
      </c>
    </row>
    <row r="1904">
      <c r="A1904" s="3" t="inlineStr">
        <is>
          <t>CNS-CSZ02DGN01</t>
        </is>
      </c>
      <c r="B1904" s="2" t="inlineStr">
        <is>
          <t>Batoh CANYON, zelená</t>
        </is>
      </c>
      <c r="C1904" s="1" t="n">
        <v>20.99</v>
      </c>
      <c r="D1904" s="7" t="n">
        <f>HYPERLINK("https://www.somogyi.sk/product/batoh-canyon-zelena-cns-csz02dgn01-18284","https://www.somogyi.sk/product/batoh-canyon-zelena-cns-csz02dgn01-18284")</f>
        <v>0.0</v>
      </c>
      <c r="E1904" s="7" t="n">
        <f>HYPERLINK("https://www.somogyi.sk/productimages/product_main_images/small/18284.jpg","https://www.somogyi.sk/productimages/product_main_images/small/18284.jpg")</f>
        <v>0.0</v>
      </c>
      <c r="F1904" s="2" t="inlineStr">
        <is>
          <t>5291485008970</t>
        </is>
      </c>
      <c r="G1904" s="4" t="inlineStr">
        <is>
          <t xml:space="preserve"> • rozmery tašky: 20 x 25 x 40 cm 
 • objem: 20 l</t>
        </is>
      </c>
    </row>
    <row r="1905">
      <c r="A1905" s="6" t="inlineStr">
        <is>
          <t xml:space="preserve">   Príslušenstvo k mobilom, adaptéry / Adaptér</t>
        </is>
      </c>
      <c r="B1905" s="6" t="inlineStr">
        <is>
          <t/>
        </is>
      </c>
      <c r="C1905" s="6" t="inlineStr">
        <is>
          <t/>
        </is>
      </c>
      <c r="D1905" s="6" t="inlineStr">
        <is>
          <t/>
        </is>
      </c>
      <c r="E1905" s="6" t="inlineStr">
        <is>
          <t/>
        </is>
      </c>
      <c r="F1905" s="6" t="inlineStr">
        <is>
          <t/>
        </is>
      </c>
      <c r="G1905" s="6" t="inlineStr">
        <is>
          <t/>
        </is>
      </c>
    </row>
    <row r="1906">
      <c r="A1906" s="3" t="inlineStr">
        <is>
          <t>MW MB10N</t>
        </is>
      </c>
      <c r="B1906" s="2" t="inlineStr">
        <is>
          <t>2000-1000 mA adaptér 3-12V</t>
        </is>
      </c>
      <c r="C1906" s="1" t="n">
        <v>15.49</v>
      </c>
      <c r="D1906" s="7" t="n">
        <f>HYPERLINK("https://www.somogyi.sk/product/2000-1000-ma-adapter-3-12v-mw-mb10n-18287","https://www.somogyi.sk/product/2000-1000-ma-adapter-3-12v-mw-mb10n-18287")</f>
        <v>0.0</v>
      </c>
      <c r="E1906" s="7" t="n">
        <f>HYPERLINK("https://www.somogyi.sk/productimages/product_main_images/small/18287.jpg","https://www.somogyi.sk/productimages/product_main_images/small/18287.jpg")</f>
        <v>0.0</v>
      </c>
      <c r="F1906" s="2" t="inlineStr">
        <is>
          <t>5999084963095</t>
        </is>
      </c>
      <c r="G1906" s="4" t="inlineStr">
        <is>
          <t xml:space="preserve"> • do 2000-1000 mA spotreby prúdu 
 • regulovateľné napätie: 3 / 4,5 / 5 / 6 / 7,5 / 9 / 12 V 
 • LED kontrolka 
 • prísl.: 6 kusová pripojovacia sada s možnosťou nastavenia polarity 
 • EuP kompatibilný</t>
        </is>
      </c>
    </row>
    <row r="1907">
      <c r="A1907" s="3" t="inlineStr">
        <is>
          <t>MW MA06</t>
        </is>
      </c>
      <c r="B1907" s="2" t="inlineStr">
        <is>
          <t>Sieťový adaptér, 3 - 12 V DC</t>
        </is>
      </c>
      <c r="C1907" s="1" t="n">
        <v>12.49</v>
      </c>
      <c r="D1907" s="7" t="n">
        <f>HYPERLINK("https://www.somogyi.sk/product/sietovy-adapter-3-12-v-dc-mw-ma06-16781","https://www.somogyi.sk/product/sietovy-adapter-3-12-v-dc-mw-ma06-16781")</f>
        <v>0.0</v>
      </c>
      <c r="E1907" s="7" t="n">
        <f>HYPERLINK("https://www.somogyi.sk/productimages/product_main_images/small/16781.jpg","https://www.somogyi.sk/productimages/product_main_images/small/16781.jpg")</f>
        <v>0.0</v>
      </c>
      <c r="F1907" s="2" t="inlineStr">
        <is>
          <t>5999084948139</t>
        </is>
      </c>
      <c r="G1907" s="4" t="inlineStr">
        <is>
          <t xml:space="preserve"> • napätie na výstupe: 3 / 4,5 / 5 / 6 / 7,5 / 9 / 12 V 
 • pripojovacia sada  / napájacie vidlice: 6 ks 
 • LED-kontrolka: áno 
 • výstupný prúd: 600 mA</t>
        </is>
      </c>
    </row>
    <row r="1908">
      <c r="A1908" s="3" t="inlineStr">
        <is>
          <t>NBC 65W</t>
        </is>
      </c>
      <c r="B1908" s="2" t="inlineStr">
        <is>
          <t>Univerzálna USB-C rýchlonabíjačka, 65 W</t>
        </is>
      </c>
      <c r="C1908" s="1" t="n">
        <v>24.99</v>
      </c>
      <c r="D1908" s="7" t="n">
        <f>HYPERLINK("https://www.somogyi.sk/product/univerzalna-usb-c-rychlonabijacka-65-w-nbc-65w-18198","https://www.somogyi.sk/product/univerzalna-usb-c-rychlonabijacka-65-w-nbc-65w-18198")</f>
        <v>0.0</v>
      </c>
      <c r="E1908" s="7" t="n">
        <f>HYPERLINK("https://www.somogyi.sk/productimages/product_main_images/small/18198.jpg","https://www.somogyi.sk/productimages/product_main_images/small/18198.jpg")</f>
        <v>0.0</v>
      </c>
      <c r="F1908" s="2" t="inlineStr">
        <is>
          <t>5999084962203</t>
        </is>
      </c>
      <c r="G1908" s="4" t="inlineStr">
        <is>
          <t xml:space="preserve"> • výkon: max.65 W 
 • napätie na výstupe: 5 V / 3 A, 9 V / 3 A, 12 V / 3 A, 15 V / 3 A, 20 V / 3,25 A 
 • napájanie: 100-240 V~ / 50-60 Hz 
 • dĺžka kábla: ~1,7 m</t>
        </is>
      </c>
    </row>
    <row r="1909">
      <c r="A1909" s="3" t="inlineStr">
        <is>
          <t>MW MC15N</t>
        </is>
      </c>
      <c r="B1909" s="2" t="inlineStr">
        <is>
          <t>2100-1500 mA stabilizovaný adaptér</t>
        </is>
      </c>
      <c r="C1909" s="1" t="n">
        <v>18.99</v>
      </c>
      <c r="D1909" s="7" t="n">
        <f>HYPERLINK("https://www.somogyi.sk/product/2100-1500-ma-stabilizovany-adapter-mw-mc15n-18288","https://www.somogyi.sk/product/2100-1500-ma-stabilizovany-adapter-mw-mc15n-18288")</f>
        <v>0.0</v>
      </c>
      <c r="E1909" s="7" t="n">
        <f>HYPERLINK("https://www.somogyi.sk/productimages/product_main_images/small/18288.jpg","https://www.somogyi.sk/productimages/product_main_images/small/18288.jpg")</f>
        <v>0.0</v>
      </c>
      <c r="F1909" s="2" t="inlineStr">
        <is>
          <t>5999084963101</t>
        </is>
      </c>
      <c r="G1909" s="4" t="inlineStr">
        <is>
          <t xml:space="preserve"> • do 2100-1500 mA spotreby prúdu 
 • regulovateľné napätie: 3 / 4,5 / 5 / 6 / 7,5 / 9 / 12 V 
 • LED kontrolka 
 • prísl.: 6 kusová pripojovacia sada s možnosťou nastavenia polarity 
 • EuP kompatibilný</t>
        </is>
      </c>
    </row>
    <row r="1910">
      <c r="A1910" s="3" t="inlineStr">
        <is>
          <t>MW MA06/G+</t>
        </is>
      </c>
      <c r="B1910" s="2" t="inlineStr">
        <is>
          <t>600 mA adaptér</t>
        </is>
      </c>
      <c r="C1910" s="1" t="n">
        <v>11.49</v>
      </c>
      <c r="D1910" s="7" t="n">
        <f>HYPERLINK("https://www.somogyi.sk/product/600-ma-adapter-mw-ma06-g-16794","https://www.somogyi.sk/product/600-ma-adapter-mw-ma06-g-16794")</f>
        <v>0.0</v>
      </c>
      <c r="E1910" s="7" t="n">
        <f>HYPERLINK("https://www.somogyi.sk/productimages/product_main_images/small/16794.jpg","https://www.somogyi.sk/productimages/product_main_images/small/16794.jpg")</f>
        <v>0.0</v>
      </c>
      <c r="F1910" s="2" t="inlineStr">
        <is>
          <t>5999084948269</t>
        </is>
      </c>
      <c r="G1910" s="4" t="inlineStr">
        <is>
          <t xml:space="preserve"> • ideálne pre 3-12 V zariadenia do spotreby prúdu 600 mA 
 • s fixnou prípojkou 2,5 x 5,5 mm 
 • nastaviteľné napätie: 3 V – 4,5 V – 5 V – 6 V – 7,5 V – 9 V – 12 V 
 • LED kontrolka</t>
        </is>
      </c>
    </row>
    <row r="1911">
      <c r="A1911" s="3" t="inlineStr">
        <is>
          <t>MW MD25</t>
        </is>
      </c>
      <c r="B1911" s="2" t="inlineStr">
        <is>
          <t>Sieťový adaptér, 3 - 12 V DC</t>
        </is>
      </c>
      <c r="C1911" s="1" t="n">
        <v>25.99</v>
      </c>
      <c r="D1911" s="7" t="n">
        <f>HYPERLINK("https://www.somogyi.sk/product/sietovy-adapter-3-12-v-dc-mw-md25-16782","https://www.somogyi.sk/product/sietovy-adapter-3-12-v-dc-mw-md25-16782")</f>
        <v>0.0</v>
      </c>
      <c r="E1911" s="7" t="n">
        <f>HYPERLINK("https://www.somogyi.sk/productimages/product_main_images/small/16782.jpg","https://www.somogyi.sk/productimages/product_main_images/small/16782.jpg")</f>
        <v>0.0</v>
      </c>
      <c r="F1911" s="2" t="inlineStr">
        <is>
          <t>5999084948146</t>
        </is>
      </c>
      <c r="G1911" s="4" t="inlineStr">
        <is>
          <t xml:space="preserve"> • napätie na výstupe: 3 / 4,5 / 5 / 6 / 7,5 / 9 / 12 V 
 • pripojovacia sada  / napájacie vidlice: 6 ks 
 • LED-kontrolka: áno 
 • výstupný prúd: 2250 mA</t>
        </is>
      </c>
    </row>
    <row r="1912">
      <c r="A1912" s="3" t="inlineStr">
        <is>
          <t>CNE-CCA033W</t>
        </is>
      </c>
      <c r="B1912" s="2" t="inlineStr">
        <is>
          <t>CANYON C-033 Universal 1xUSB adaptér do auta</t>
        </is>
      </c>
      <c r="C1912" s="1" t="n">
        <v>4.79</v>
      </c>
      <c r="D1912" s="7" t="n">
        <f>HYPERLINK("https://www.somogyi.sk/product/canyon-c-033-universal-1xusb-adapter-do-auta-cne-cca033w-18074","https://www.somogyi.sk/product/canyon-c-033-universal-1xusb-adapter-do-auta-cne-cca033w-18074")</f>
        <v>0.0</v>
      </c>
      <c r="E1912" s="7" t="n">
        <f>HYPERLINK("https://www.somogyi.sk/productimages/product_main_images/small/18074.jpg","https://www.somogyi.sk/productimages/product_main_images/small/18074.jpg")</f>
        <v>0.0</v>
      </c>
      <c r="F1912" s="2" t="inlineStr">
        <is>
          <t>5291485005856</t>
        </is>
      </c>
      <c r="G1912" s="4" t="inlineStr">
        <is>
          <t xml:space="preserve"> • napätie na výstupe: 5V/2,4A 
 • vstupné napätie: 12-24 V 
 • pripojovacia sada  / napájacie vidlice: 1 x USB 2,4 A / 1 ks zabudovaný, 1,2 m "LIGHTNING" kábel</t>
        </is>
      </c>
    </row>
    <row r="1913">
      <c r="A1913" s="3" t="inlineStr">
        <is>
          <t>NA 12P200</t>
        </is>
      </c>
      <c r="B1913" s="2" t="inlineStr">
        <is>
          <t>Sieťový adaptér</t>
        </is>
      </c>
      <c r="C1913" s="1" t="n">
        <v>9.99</v>
      </c>
      <c r="D1913" s="7" t="n">
        <f>HYPERLINK("https://www.somogyi.sk/product/sietovy-adapter-na-12p200-15432","https://www.somogyi.sk/product/sietovy-adapter-na-12p200-15432")</f>
        <v>0.0</v>
      </c>
      <c r="E1913" s="7" t="n">
        <f>HYPERLINK("https://www.somogyi.sk/productimages/product_main_images/small/15432.jpg","https://www.somogyi.sk/productimages/product_main_images/small/15432.jpg")</f>
        <v>0.0</v>
      </c>
      <c r="F1913" s="2" t="inlineStr">
        <is>
          <t>5999084934668</t>
        </is>
      </c>
      <c r="G1913" s="4" t="inlineStr">
        <is>
          <t xml:space="preserve"> • napätie na výstupe: 12 V DC 
 • pripojovacia sada  / napájacie vidlice: 5,5 x 2,1 mm 
 • výstupná polarita: fixná 
 • napájanie: 100 - 240 V~  
 • výstupný prúd: 2000 mA</t>
        </is>
      </c>
    </row>
    <row r="1914">
      <c r="A1914" s="3" t="inlineStr">
        <is>
          <t>MW MA06N</t>
        </is>
      </c>
      <c r="B1914" s="2" t="inlineStr">
        <is>
          <t>1000-600 mA adaptér, 3-12V</t>
        </is>
      </c>
      <c r="C1914" s="1" t="n">
        <v>12.99</v>
      </c>
      <c r="D1914" s="7" t="n">
        <f>HYPERLINK("https://www.somogyi.sk/product/1000-600-ma-adapter-3-12v-mw-ma06n-18286","https://www.somogyi.sk/product/1000-600-ma-adapter-3-12v-mw-ma06n-18286")</f>
        <v>0.0</v>
      </c>
      <c r="E1914" s="7" t="n">
        <f>HYPERLINK("https://www.somogyi.sk/productimages/product_main_images/small/18286.jpg","https://www.somogyi.sk/productimages/product_main_images/small/18286.jpg")</f>
        <v>0.0</v>
      </c>
      <c r="F1914" s="2" t="inlineStr">
        <is>
          <t>5999084963088</t>
        </is>
      </c>
      <c r="G1914" s="4" t="inlineStr">
        <is>
          <t xml:space="preserve"> • do 1000-600 mA spotreby prúdu 
 • regulovateľné napätie: 3 / 4,5 / 5 / 6 / 7,5 / 9 / 12 V 
 • LED kontrolka 
 • prísl.: 6 kusová pripojovacia sada s možnosťou nastavenia polarity 
 • EuP kompatibilný</t>
        </is>
      </c>
    </row>
    <row r="1915">
      <c r="A1915" s="6" t="inlineStr">
        <is>
          <t xml:space="preserve">   Cestovný adaptér / q2power cestovný adaptér</t>
        </is>
      </c>
      <c r="B1915" s="6" t="inlineStr">
        <is>
          <t/>
        </is>
      </c>
      <c r="C1915" s="6" t="inlineStr">
        <is>
          <t/>
        </is>
      </c>
      <c r="D1915" s="6" t="inlineStr">
        <is>
          <t/>
        </is>
      </c>
      <c r="E1915" s="6" t="inlineStr">
        <is>
          <t/>
        </is>
      </c>
      <c r="F1915" s="6" t="inlineStr">
        <is>
          <t/>
        </is>
      </c>
      <c r="G1915" s="6" t="inlineStr">
        <is>
          <t/>
        </is>
      </c>
    </row>
    <row r="1916">
      <c r="A1916" s="3" t="inlineStr">
        <is>
          <t>1.200220</t>
        </is>
      </c>
      <c r="B1916" s="2" t="inlineStr">
        <is>
          <t>Q2 power Cestovný adaptér "France to Australia"</t>
        </is>
      </c>
      <c r="C1916" s="1" t="n">
        <v>2.99</v>
      </c>
      <c r="D1916" s="7" t="n">
        <f>HYPERLINK("https://www.somogyi.sk/product/q2-power-cestovny-adapter-france-to-australia-1-200220-15937","https://www.somogyi.sk/product/q2-power-cestovny-adapter-france-to-australia-1-200220-15937")</f>
        <v>0.0</v>
      </c>
      <c r="E1916" s="7" t="n">
        <f>HYPERLINK("https://www.somogyi.sk/productimages/product_main_images/small/15937.jpg","https://www.somogyi.sk/productimages/product_main_images/small/15937.jpg")</f>
        <v>0.0</v>
      </c>
      <c r="F1916" s="2" t="inlineStr">
        <is>
          <t>7640167560462</t>
        </is>
      </c>
      <c r="G1916" s="4" t="inlineStr">
        <is>
          <t xml:space="preserve"> • k uzemneným prístrojom: áno 
 • vstupná vidlica: AUS 
 • výstupná zásuvka: FRANCE 
 • menovité napätie: 100 V - 250 V 
 • menovitý príkon: 100 V - 1000 W / 250 V - 2500 W 
 • menovitý prúd: 10 A</t>
        </is>
      </c>
    </row>
    <row r="1917">
      <c r="A1917" s="3" t="inlineStr">
        <is>
          <t>1.100190</t>
        </is>
      </c>
      <c r="B1917" s="2" t="inlineStr">
        <is>
          <t>Q2 power Cestovný adaptér "World to Italy USB"</t>
        </is>
      </c>
      <c r="C1917" s="1" t="n">
        <v>5.69</v>
      </c>
      <c r="D1917" s="7" t="n">
        <f>HYPERLINK("https://www.somogyi.sk/product/q2-power-cestovny-adapter-world-to-italy-usb-1-100190-15928","https://www.somogyi.sk/product/q2-power-cestovny-adapter-world-to-italy-usb-1-100190-15928")</f>
        <v>0.0</v>
      </c>
      <c r="E1917" s="7" t="n">
        <f>HYPERLINK("https://www.somogyi.sk/productimages/product_main_images/small/15928.jpg","https://www.somogyi.sk/productimages/product_main_images/small/15928.jpg")</f>
        <v>0.0</v>
      </c>
      <c r="F1917" s="2" t="inlineStr">
        <is>
          <t>7640167560103</t>
        </is>
      </c>
      <c r="G1917" s="4" t="inlineStr">
        <is>
          <t xml:space="preserve"> • k uzemneným prístrojom: áno (okrem EURO) 
 • vstupná vidlica: IT 
 • výstupná zásuvka: AUS/CHINA, IT, UK, CH, BRAZIL, USA, EURO (iba neuzemnené!) 
 • menovité napätie: 100 V - 250 V 
 • menovitý príkon: 100 V - 1000 W / 250 V - 2500 W 
 • USB-A zásuvka: max. 2,1 A 
 • menovitý prúd: 10 A</t>
        </is>
      </c>
    </row>
    <row r="1918">
      <c r="A1918" s="3" t="inlineStr">
        <is>
          <t>1.100170</t>
        </is>
      </c>
      <c r="B1918" s="2" t="inlineStr">
        <is>
          <t>Q2 power Cestovný adaptér, "World to Australia USB"</t>
        </is>
      </c>
      <c r="C1918" s="1" t="n">
        <v>5.69</v>
      </c>
      <c r="D1918" s="7" t="n">
        <f>HYPERLINK("https://www.somogyi.sk/product/q2-power-cestovny-adapter-world-to-australia-usb-1-100170-15927","https://www.somogyi.sk/product/q2-power-cestovny-adapter-world-to-australia-usb-1-100170-15927")</f>
        <v>0.0</v>
      </c>
      <c r="E1918" s="7" t="n">
        <f>HYPERLINK("https://www.somogyi.sk/productimages/product_main_images/small/15927.jpg","https://www.somogyi.sk/productimages/product_main_images/small/15927.jpg")</f>
        <v>0.0</v>
      </c>
      <c r="F1918" s="2" t="inlineStr">
        <is>
          <t>7640167560080</t>
        </is>
      </c>
      <c r="G1918" s="4" t="inlineStr">
        <is>
          <t xml:space="preserve"> • k uzemneným prístrojom: áno (okrem EURO) 
 • vstupná vidlica: AUS 
 • výstupná zásuvka: AUS/CHINA, IT, UK, CH, BRAZIL, USA, EURO (iba neuzemnené!) 
 • menovité napätie: 100 V - 250 V 
 • menovitý príkon: 100 V - 1000 W / 250 V - 2500 W 
 • menovitý prúd: 10 A 
 • USB-A zásuvka: max. 2,1 A</t>
        </is>
      </c>
    </row>
    <row r="1919">
      <c r="A1919" s="3" t="inlineStr">
        <is>
          <t>1.100110-TH</t>
        </is>
      </c>
      <c r="B1919" s="2" t="inlineStr">
        <is>
          <t>Cestovný adaptér "World to Europe USB" Q2 USB 5V</t>
        </is>
      </c>
      <c r="C1919" s="1" t="n">
        <v>23.99</v>
      </c>
      <c r="D1919" s="7" t="n">
        <f>HYPERLINK("https://www.somogyi.sk/product/cestovny-adapter-world-to-europe-usb-q2-usb-5v-1-100110-th-18578","https://www.somogyi.sk/product/cestovny-adapter-world-to-europe-usb-q2-usb-5v-1-100110-th-18578")</f>
        <v>0.0</v>
      </c>
      <c r="E1919" s="7" t="n">
        <f>HYPERLINK("https://www.somogyi.sk/productimages/product_main_images/small/18578.jpg","https://www.somogyi.sk/productimages/product_main_images/small/18578.jpg")</f>
        <v>0.0</v>
      </c>
      <c r="F1919" s="2" t="inlineStr">
        <is>
          <t>7640166327387</t>
        </is>
      </c>
      <c r="G1919" s="4" t="inlineStr">
        <is>
          <t xml:space="preserve"> • menovité napätie: 100-250 V 
 • menovitý prúd: 16 A 
 • menovitý príkon: max. 4000 W</t>
        </is>
      </c>
    </row>
    <row r="1920">
      <c r="A1920" s="3" t="inlineStr">
        <is>
          <t>1.200100</t>
        </is>
      </c>
      <c r="B1920" s="2" t="inlineStr">
        <is>
          <t>Q2 power Cestovný adaptér "Europe to UK"</t>
        </is>
      </c>
      <c r="C1920" s="1" t="n">
        <v>8.69</v>
      </c>
      <c r="D1920" s="7" t="n">
        <f>HYPERLINK("https://www.somogyi.sk/product/q2-power-cestovny-adapter-europe-to-uk-1-200100-15930","https://www.somogyi.sk/product/q2-power-cestovny-adapter-europe-to-uk-1-200100-15930")</f>
        <v>0.0</v>
      </c>
      <c r="E1920" s="7" t="n">
        <f>HYPERLINK("https://www.somogyi.sk/productimages/product_main_images/small/15930.jpg","https://www.somogyi.sk/productimages/product_main_images/small/15930.jpg")</f>
        <v>0.0</v>
      </c>
      <c r="F1920" s="2" t="inlineStr">
        <is>
          <t>7640167560325</t>
        </is>
      </c>
      <c r="G1920" s="4" t="inlineStr">
        <is>
          <t xml:space="preserve"> • k uzemneným prístrojom: áno 
 • vstupná vidlica: UK 
 • výstupná zásuvka: EURO 
 • menovité napätie: 100 V - 250 V 
 • menovitý príkon: 100 V - 1300 W / 250 V - 3250 W 
 • menovitý prúd: 13 A</t>
        </is>
      </c>
    </row>
    <row r="1921">
      <c r="A1921" s="3" t="inlineStr">
        <is>
          <t>1.200110</t>
        </is>
      </c>
      <c r="B1921" s="2" t="inlineStr">
        <is>
          <t>Q2 power Cestovný adaptér "Europe to USA"</t>
        </is>
      </c>
      <c r="C1921" s="1" t="n">
        <v>9.49</v>
      </c>
      <c r="D1921" s="7" t="n">
        <f>HYPERLINK("https://www.somogyi.sk/product/q2-power-cestovny-adapter-europe-to-usa-1-200110-15931","https://www.somogyi.sk/product/q2-power-cestovny-adapter-europe-to-usa-1-200110-15931")</f>
        <v>0.0</v>
      </c>
      <c r="E1921" s="7" t="n">
        <f>HYPERLINK("https://www.somogyi.sk/productimages/product_main_images/small/15931.jpg","https://www.somogyi.sk/productimages/product_main_images/small/15931.jpg")</f>
        <v>0.0</v>
      </c>
      <c r="F1921" s="2" t="inlineStr">
        <is>
          <t>7640167560332</t>
        </is>
      </c>
      <c r="G1921" s="4" t="inlineStr">
        <is>
          <t xml:space="preserve"> • k uzemneným prístrojom: áno 
 • vstupná vidlica: USA 
 • výstupná zásuvka: EURO 
 • menovité napätie: 100 V - 250 V 
 • menovitý príkon: 100 V - 1500 W / 250 V - 3750 W 
 • menovitý prúd: 15 A</t>
        </is>
      </c>
    </row>
    <row r="1922">
      <c r="A1922" s="3" t="inlineStr">
        <is>
          <t>1.100100-TH</t>
        </is>
      </c>
      <c r="B1922" s="2" t="inlineStr">
        <is>
          <t>Cestovný adaptér "World to Europe" Q2</t>
        </is>
      </c>
      <c r="C1922" s="1" t="n">
        <v>10.99</v>
      </c>
      <c r="D1922" s="7" t="n">
        <f>HYPERLINK("https://www.somogyi.sk/product/cestovny-adapter-world-to-europe-q2-1-100100-th-17699","https://www.somogyi.sk/product/cestovny-adapter-world-to-europe-q2-1-100100-th-17699")</f>
        <v>0.0</v>
      </c>
      <c r="E1922" s="7" t="n">
        <f>HYPERLINK("https://www.somogyi.sk/productimages/product_main_images/small/17699.jpg","https://www.somogyi.sk/productimages/product_main_images/small/17699.jpg")</f>
        <v>0.0</v>
      </c>
      <c r="F1922" s="2" t="inlineStr">
        <is>
          <t>7640166325406</t>
        </is>
      </c>
      <c r="G1922" s="4" t="inlineStr">
        <is>
          <t xml:space="preserve"> • k uzemneným prístrojom: áno 
 • vstupná vidlica: EURO 
 • výstupná zásuvka: AUS/CHINA, IT, UK, CH, BRAZIL, USA, EURO (iba neuzemnené) 
 • menovité napätie: 100-250 V 
 • menovitý prúd: 16 A 
 • menovitý príkon: 100 V - 1600 W / 250 V - 4000 W</t>
        </is>
      </c>
    </row>
    <row r="1923">
      <c r="A1923" s="3" t="inlineStr">
        <is>
          <t>1.200100-TH</t>
        </is>
      </c>
      <c r="B1923" s="2" t="inlineStr">
        <is>
          <t>Cestovný adaptér "Europe to UK" Q2, 7A</t>
        </is>
      </c>
      <c r="C1923" s="1" t="n">
        <v>9.49</v>
      </c>
      <c r="D1923" s="7" t="n">
        <f>HYPERLINK("https://www.somogyi.sk/product/cestovny-adapter-europe-to-uk-q2-7a-1-200100-th-18115","https://www.somogyi.sk/product/cestovny-adapter-europe-to-uk-q2-7a-1-200100-th-18115")</f>
        <v>0.0</v>
      </c>
      <c r="E1923" s="7" t="n">
        <f>HYPERLINK("https://www.somogyi.sk/productimages/product_main_images/small/18115.jpg","https://www.somogyi.sk/productimages/product_main_images/small/18115.jpg")</f>
        <v>0.0</v>
      </c>
      <c r="F1923" s="2" t="inlineStr">
        <is>
          <t>7640166327363</t>
        </is>
      </c>
      <c r="G1923" s="4" t="inlineStr">
        <is>
          <t xml:space="preserve"> • k uzemneným prístrojom: áno 
 • vstupná vidlica: UK 
 • výstupná zásuvka: EURO 
 • menovité napätie: 100 V - 250 V 
 • menovitý prúd: 7 A 
 • menovitý príkon: 100 V - 700 W / 250 V - 1750 W</t>
        </is>
      </c>
    </row>
    <row r="1924">
      <c r="A1924" s="3" t="inlineStr">
        <is>
          <t>1.100150</t>
        </is>
      </c>
      <c r="B1924" s="2" t="inlineStr">
        <is>
          <t>Q2 power Cestovný adaptér, "World to USA USB"</t>
        </is>
      </c>
      <c r="C1924" s="1" t="n">
        <v>5.69</v>
      </c>
      <c r="D1924" s="7" t="n">
        <f>HYPERLINK("https://www.somogyi.sk/product/q2-power-cestovny-adapter-world-to-usa-usb-1-100150-15926","https://www.somogyi.sk/product/q2-power-cestovny-adapter-world-to-usa-usb-1-100150-15926")</f>
        <v>0.0</v>
      </c>
      <c r="E1924" s="7" t="n">
        <f>HYPERLINK("https://www.somogyi.sk/productimages/product_main_images/small/15926.jpg","https://www.somogyi.sk/productimages/product_main_images/small/15926.jpg")</f>
        <v>0.0</v>
      </c>
      <c r="F1924" s="2" t="inlineStr">
        <is>
          <t>7640167560066</t>
        </is>
      </c>
      <c r="G1924" s="4" t="inlineStr">
        <is>
          <t xml:space="preserve"> • k uzemneným prístrojom: áno (okrem EURO) 
 • vstupná vidlica: USA 
 • výstupná zásuvka: AUS/CHINA, IT, UK, CH, BRAZIL, USA, EURO (iba neuzemnené!) 
 • USB nabíjacia zásuvka: max. 2,1 A 
 • menovité napätie: 100 V - 250 V 
 • menovitý prúd: 15 A 
 • menovitý príkon: 100 V - 1500 W / 250 V - 3750 W 
 • USB-A zásuvka: max. 2,1 A 
 • menovitý prúd: 15 A</t>
        </is>
      </c>
    </row>
    <row r="1925">
      <c r="A1925" s="3" t="inlineStr">
        <is>
          <t>1.100220</t>
        </is>
      </c>
      <c r="B1925" s="2" t="inlineStr">
        <is>
          <t>Q2 power Cestovný adaptér "World to South Africa"</t>
        </is>
      </c>
      <c r="C1925" s="1" t="n">
        <v>2.59</v>
      </c>
      <c r="D1925" s="7" t="n">
        <f>HYPERLINK("https://www.somogyi.sk/product/q2-power-cestovny-adapter-world-to-south-africa-1-100220-15956","https://www.somogyi.sk/product/q2-power-cestovny-adapter-world-to-south-africa-1-100220-15956")</f>
        <v>0.0</v>
      </c>
      <c r="E1925" s="7" t="n">
        <f>HYPERLINK("https://www.somogyi.sk/productimages/product_main_images/small/15956.jpg","https://www.somogyi.sk/productimages/product_main_images/small/15956.jpg")</f>
        <v>0.0</v>
      </c>
      <c r="F1925" s="2" t="inlineStr">
        <is>
          <t>7640167560523</t>
        </is>
      </c>
      <c r="G1925" s="4" t="inlineStr">
        <is>
          <t xml:space="preserve"> • k uzemneným prístrojom: áno 
 • vstupná vidlica: SOUTH AFRICA 
 • výstupná zásuvka: AUS/CHINA, IT, UK, CH, BRAZIL, USA, EURO (iba neuzemnené!) 
 • menovité napätie: 100 V - 250 V 
 • menovitý príkon: 100 V - 1600 W / 250 V - 4000 W 
 • menovitý prúd: 16 A</t>
        </is>
      </c>
    </row>
    <row r="1926">
      <c r="A1926" s="3" t="inlineStr">
        <is>
          <t>2.100130</t>
        </is>
      </c>
      <c r="B1926" s="2" t="inlineStr">
        <is>
          <t>Q2 power Cestovný adaptér "Qdapter 360 USB"</t>
        </is>
      </c>
      <c r="C1926" s="1" t="n">
        <v>13.49</v>
      </c>
      <c r="D1926" s="7" t="n">
        <f>HYPERLINK("https://www.somogyi.sk/product/q2-power-cestovny-adapter-qdapter-360-usb-2-100130-15943","https://www.somogyi.sk/product/q2-power-cestovny-adapter-qdapter-360-usb-2-100130-15943")</f>
        <v>0.0</v>
      </c>
      <c r="E1926" s="7" t="n">
        <f>HYPERLINK("https://www.somogyi.sk/productimages/product_main_images/small/15943.jpg","https://www.somogyi.sk/productimages/product_main_images/small/15943.jpg")</f>
        <v>0.0</v>
      </c>
      <c r="F1926" s="2" t="inlineStr">
        <is>
          <t>7640167560578</t>
        </is>
      </c>
      <c r="G1926" s="4" t="inlineStr">
        <is>
          <t xml:space="preserve"> • pripojenia: cestovné adaptéry typu 2.100100 a 1.100.100 
 • k uzemneným prístrojom: áno 
 • vstupná vidlica: AUS, IT, UK, CH, BRAZIL, USA, EURO 
 • výstupná zásuvka: AUS/CHINA, IT, UK, CH, BRAZIL, USA, EURO (iba neuzemnené!) 
 • USB nabíjacia zásuvka: max. 2,1 A 
 • menovité napätie: 100 V - 250 V 
 • menovitý prúd: Qdapter: 10 A / Word to Europe: 16 A 
 • menovitý príkon: Qdapter: 100 V - 1000 W / 250 V - 2500 W, Word to Europe: 100 V - 1600 W / 250 V - 4000 W 
 • USB-A zásuvka: max. 2,1 A 
 • menovitý prúd: Qdapter: 10 A / Word to Europe: 16 A</t>
        </is>
      </c>
    </row>
    <row r="1927">
      <c r="A1927" s="3" t="inlineStr">
        <is>
          <t>2.100110</t>
        </is>
      </c>
      <c r="B1927" s="2" t="inlineStr">
        <is>
          <t>Q2 power Cestovný adaptér "Qdapter USB"</t>
        </is>
      </c>
      <c r="C1927" s="1" t="n">
        <v>11.99</v>
      </c>
      <c r="D1927" s="7" t="n">
        <f>HYPERLINK("https://www.somogyi.sk/product/q2-power-cestovny-adapter-qdapter-usb-2-100110-15941","https://www.somogyi.sk/product/q2-power-cestovny-adapter-qdapter-usb-2-100110-15941")</f>
        <v>0.0</v>
      </c>
      <c r="E1927" s="7" t="n">
        <f>HYPERLINK("https://www.somogyi.sk/productimages/product_main_images/small/15941.jpg","https://www.somogyi.sk/productimages/product_main_images/small/15941.jpg")</f>
        <v>0.0</v>
      </c>
      <c r="F1927" s="2" t="inlineStr">
        <is>
          <t>7640167560400</t>
        </is>
      </c>
      <c r="G1927" s="4" t="inlineStr">
        <is>
          <t xml:space="preserve"> • k uzemneným prístrojom: áno (okrem EURO) 
 • vstupná vidlica: AUS, IT, UK, CH, BRAZIL, USA 
 • výstupná zásuvka: AUS/CHINA, IT, UK, CH, BRAZIL, USA, EURO (iba neuzemnené!) 
 • USB nabíjacia zásuvka: max. 2,1 A 
 • menovité napätie: 100 V - 250 V 
 • menovitý prúd: 10 A 
 • menovitý príkon: 100 V - 1000 W / 250 V - 2500 W 
 • USB-A zásuvka: max. 2,1 A 
 • menovitý prúd: 10 A</t>
        </is>
      </c>
    </row>
    <row r="1928">
      <c r="A1928" s="3" t="inlineStr">
        <is>
          <t>1.200240</t>
        </is>
      </c>
      <c r="B1928" s="2" t="inlineStr">
        <is>
          <t>Q2 power Cestovný adaptér "France to Italy"</t>
        </is>
      </c>
      <c r="C1928" s="1" t="n">
        <v>2.99</v>
      </c>
      <c r="D1928" s="7" t="n">
        <f>HYPERLINK("https://www.somogyi.sk/product/q2-power-cestovny-adapter-france-to-italy-1-200240-15939","https://www.somogyi.sk/product/q2-power-cestovny-adapter-france-to-italy-1-200240-15939")</f>
        <v>0.0</v>
      </c>
      <c r="E1928" s="7" t="n">
        <f>HYPERLINK("https://www.somogyi.sk/productimages/product_main_images/small/15939.jpg","https://www.somogyi.sk/productimages/product_main_images/small/15939.jpg")</f>
        <v>0.0</v>
      </c>
      <c r="F1928" s="2" t="inlineStr">
        <is>
          <t>7640167560479</t>
        </is>
      </c>
      <c r="G1928" s="4" t="inlineStr">
        <is>
          <t xml:space="preserve"> • k uzemneným prístrojom: áno 
 • vstupná vidlica: IT 
 • výstupná zásuvka: FRANCE 
 • menovité napätie: 100 V - 250 V 
 • menovitý príkon: 100 V - 1000 W / 250 V - 2500 W 
 • menovitý prúd: 10 A</t>
        </is>
      </c>
    </row>
    <row r="1929">
      <c r="A1929" s="3" t="inlineStr">
        <is>
          <t>1.200230</t>
        </is>
      </c>
      <c r="B1929" s="2" t="inlineStr">
        <is>
          <t>Q2 power Cestovný adaptér "France to Switzerland"</t>
        </is>
      </c>
      <c r="C1929" s="1" t="n">
        <v>2.99</v>
      </c>
      <c r="D1929" s="7" t="n">
        <f>HYPERLINK("https://www.somogyi.sk/product/q2-power-cestovny-adapter-france-to-switzerland-1-200230-15938","https://www.somogyi.sk/product/q2-power-cestovny-adapter-france-to-switzerland-1-200230-15938")</f>
        <v>0.0</v>
      </c>
      <c r="E1929" s="7" t="n">
        <f>HYPERLINK("https://www.somogyi.sk/productimages/product_main_images/small/15938.jpg","https://www.somogyi.sk/productimages/product_main_images/small/15938.jpg")</f>
        <v>0.0</v>
      </c>
      <c r="F1929" s="2" t="inlineStr">
        <is>
          <t>7640167560486</t>
        </is>
      </c>
      <c r="G1929" s="4" t="inlineStr">
        <is>
          <t xml:space="preserve"> • k uzemneným prístrojom: áno 
 • vstupná vidlica: CH 
 • výstupná zásuvka: FRANCE 
 • menovité napätie: 100 V - 250 V 
 • menovitý príkon: 100 V - 1000 W / 250 V - 2500 W 
 • menovitý prúd: 10 A</t>
        </is>
      </c>
    </row>
    <row r="1930">
      <c r="A1930" s="3" t="inlineStr">
        <is>
          <t>1.100210</t>
        </is>
      </c>
      <c r="B1930" s="2" t="inlineStr">
        <is>
          <t>Q2 power Cestovný adaptér "World to Switzerland USB"</t>
        </is>
      </c>
      <c r="C1930" s="1" t="n">
        <v>5.69</v>
      </c>
      <c r="D1930" s="7" t="n">
        <f>HYPERLINK("https://www.somogyi.sk/product/q2-power-cestovny-adapter-world-to-switzerland-usb-1-100210-15929","https://www.somogyi.sk/product/q2-power-cestovny-adapter-world-to-switzerland-usb-1-100210-15929")</f>
        <v>0.0</v>
      </c>
      <c r="E1930" s="7" t="n">
        <f>HYPERLINK("https://www.somogyi.sk/productimages/product_main_images/small/15929.jpg","https://www.somogyi.sk/productimages/product_main_images/small/15929.jpg")</f>
        <v>0.0</v>
      </c>
      <c r="F1930" s="2" t="inlineStr">
        <is>
          <t>7640167560127</t>
        </is>
      </c>
      <c r="G1930" s="4" t="inlineStr">
        <is>
          <t xml:space="preserve"> • k uzemneným prístrojom: áno (okrem EURO) 
 • vstupná vidlica: CH 
 • výstupná zásuvka: AUS/CHINA, IT, UK, CH, BRAZIL, USA, EURO (iba neuzemnené!) 
 • menovité napätie: 100 V - 250 V 
 • menovitý príkon: 100 V - 1000 W / 250 V - 2500 W 
 • menovitý prúd: 10 A 
 • USB-A zásuvka: max. 2,1 A</t>
        </is>
      </c>
    </row>
    <row r="1931">
      <c r="A1931" s="6" t="inlineStr">
        <is>
          <t xml:space="preserve">   Elektrina / Predlžovací prívod, spojka</t>
        </is>
      </c>
      <c r="B1931" s="6" t="inlineStr">
        <is>
          <t/>
        </is>
      </c>
      <c r="C1931" s="6" t="inlineStr">
        <is>
          <t/>
        </is>
      </c>
      <c r="D1931" s="6" t="inlineStr">
        <is>
          <t/>
        </is>
      </c>
      <c r="E1931" s="6" t="inlineStr">
        <is>
          <t/>
        </is>
      </c>
      <c r="F1931" s="6" t="inlineStr">
        <is>
          <t/>
        </is>
      </c>
      <c r="G1931" s="6" t="inlineStr">
        <is>
          <t/>
        </is>
      </c>
    </row>
    <row r="1932">
      <c r="A1932" s="3" t="inlineStr">
        <is>
          <t>NV 12-5/WH</t>
        </is>
      </c>
      <c r="B1932" s="2" t="inlineStr">
        <is>
          <t>EURO predlžovací prívod, 5 m, biela</t>
        </is>
      </c>
      <c r="C1932" s="1" t="n">
        <v>6.29</v>
      </c>
      <c r="D1932" s="7" t="n">
        <f>HYPERLINK("https://www.somogyi.sk/product/euro-predlzovaci-privod-5-m-biela-nv-12-5-wh-17570","https://www.somogyi.sk/product/euro-predlzovaci-privod-5-m-biela-nv-12-5-wh-17570")</f>
        <v>0.0</v>
      </c>
      <c r="E1932" s="7" t="n">
        <f>HYPERLINK("https://www.somogyi.sk/productimages/product_main_images/small/17570.jpg","https://www.somogyi.sk/productimages/product_main_images/small/17570.jpg")</f>
        <v>0.0</v>
      </c>
      <c r="F1932" s="2" t="inlineStr">
        <is>
          <t>5999084955922</t>
        </is>
      </c>
      <c r="G1932" s="4" t="inlineStr">
        <is>
          <t xml:space="preserve"> • farba: biela 
 • uzemnenie: nie 
 • typ kábla: H03VVH2-F 2x0,75 mm2 kábel 
 • dĺžka kábla: 5 m 
 • menovité napätie: 250 V~ 
 • menovitý prúd: 2,5 A 
 • menovitý príkon: max. 575 W 
 • počet zásuviek: 1 ks</t>
        </is>
      </c>
    </row>
    <row r="1933">
      <c r="A1933" s="3" t="inlineStr">
        <is>
          <t>NV 4-30/OR/1,5</t>
        </is>
      </c>
      <c r="B1933" s="2" t="inlineStr">
        <is>
          <t>Dvojžilový predlžovací prívod 30 m, 2x1,5 mm2, oranžová</t>
        </is>
      </c>
      <c r="C1933" s="1" t="n">
        <v>28.99</v>
      </c>
      <c r="D1933" s="7" t="n">
        <f>HYPERLINK("https://www.somogyi.sk/product/dvojzilovy-predlzovaci-privod-30-m-2x1-5-mm2-oranzova-nv-4-30-or-1-5-17502","https://www.somogyi.sk/product/dvojzilovy-predlzovaci-privod-30-m-2x1-5-mm2-oranzova-nv-4-30-or-1-5-17502")</f>
        <v>0.0</v>
      </c>
      <c r="E1933" s="7" t="n">
        <f>HYPERLINK("https://www.somogyi.sk/productimages/product_main_images/small/17502.jpg","https://www.somogyi.sk/productimages/product_main_images/small/17502.jpg")</f>
        <v>0.0</v>
      </c>
      <c r="F1933" s="2" t="inlineStr">
        <is>
          <t>5999084955243</t>
        </is>
      </c>
      <c r="G1933" s="4" t="inlineStr">
        <is>
          <t xml:space="preserve"> • farba: oranžová 
 • uzemnenie: nie 
 • typ kábla: H05VV-F 2 x 1,5 mm² 
 • dĺžka kábla: 30 m 
 • menovité napätie: 250 V~ 
 • menovitý prúd: max. 16 A 
 • menovitý príkon: max. 3680 W 
 • počet zásuviek: 1 ks</t>
        </is>
      </c>
    </row>
    <row r="1934">
      <c r="A1934" s="3" t="inlineStr">
        <is>
          <t>NV 4-20/OR/1,5</t>
        </is>
      </c>
      <c r="B1934" s="2" t="inlineStr">
        <is>
          <t>Dvojžilový predlžovací prívod 20 m, 2x1,5 mm2</t>
        </is>
      </c>
      <c r="C1934" s="1" t="n">
        <v>15.28</v>
      </c>
      <c r="D1934" s="7" t="n">
        <f>HYPERLINK("https://www.somogyi.sk/product/dvojzilovy-predlzovaci-privod-20-m-2x1-5-mm2-nv-4-20-or-1-5-17501","https://www.somogyi.sk/product/dvojzilovy-predlzovaci-privod-20-m-2x1-5-mm2-nv-4-20-or-1-5-17501")</f>
        <v>0.0</v>
      </c>
      <c r="E1934" s="7" t="n">
        <f>HYPERLINK("https://www.somogyi.sk/productimages/product_main_images/small/17501.jpg","https://www.somogyi.sk/productimages/product_main_images/small/17501.jpg")</f>
        <v>0.0</v>
      </c>
      <c r="F1934" s="2" t="inlineStr">
        <is>
          <t>5999084955236</t>
        </is>
      </c>
      <c r="G1934" s="4" t="inlineStr">
        <is>
          <t xml:space="preserve"> • farba: oranžová 
 • uzemnenie: nie 
 • typ kábla: H05VV-F 2 x 1,5 mm² 
 • dĺžka kábla: 20 m 
 • menovité napätie: 250 V~ 
 • menovitý prúd: max. 16 A 
 • menovitý príkon: 3680 W 
 • počet zásuviek: 1 ks</t>
        </is>
      </c>
    </row>
    <row r="1935">
      <c r="A1935" s="3" t="inlineStr">
        <is>
          <t>NV 12-5/BK</t>
        </is>
      </c>
      <c r="B1935" s="2" t="inlineStr">
        <is>
          <t>EURO predlžovací prívod, 5 m, čierna</t>
        </is>
      </c>
      <c r="C1935" s="1" t="n">
        <v>6.29</v>
      </c>
      <c r="D1935" s="7" t="n">
        <f>HYPERLINK("https://www.somogyi.sk/product/euro-predlzovaci-privod-5-m-cierna-nv-12-5-bk-17571","https://www.somogyi.sk/product/euro-predlzovaci-privod-5-m-cierna-nv-12-5-bk-17571")</f>
        <v>0.0</v>
      </c>
      <c r="E1935" s="7" t="n">
        <f>HYPERLINK("https://www.somogyi.sk/productimages/product_main_images/small/17571.jpg","https://www.somogyi.sk/productimages/product_main_images/small/17571.jpg")</f>
        <v>0.0</v>
      </c>
      <c r="F1935" s="2" t="inlineStr">
        <is>
          <t>5999084955939</t>
        </is>
      </c>
      <c r="G1935" s="4" t="inlineStr">
        <is>
          <t xml:space="preserve"> • farba: čierna 
 • uzemnenie: nie 
 • typ kábla: H03VVH2-F 2x0,75 mm2 kábel 
 • dĺžka kábla: 5 m 
 • menovité napätie: 250 V~ 
 • menovitý prúd: 2,5 A 
 • menovitý príkon: max. 575 W 
 • počet zásuviek: 1 ks</t>
        </is>
      </c>
    </row>
    <row r="1936">
      <c r="A1936" s="3" t="inlineStr">
        <is>
          <t>NV 4-10/OR/1,5</t>
        </is>
      </c>
      <c r="B1936" s="2" t="inlineStr">
        <is>
          <t>Dvojžilový predlžovací prívod 10 m, 2x1,5 mm2</t>
        </is>
      </c>
      <c r="C1936" s="1" t="n">
        <v>8.12</v>
      </c>
      <c r="D1936" s="7" t="n">
        <f>HYPERLINK("https://www.somogyi.sk/product/dvojzilovy-predlzovaci-privod-10-m-2x1-5-mm2-nv-4-10-or-1-5-17500","https://www.somogyi.sk/product/dvojzilovy-predlzovaci-privod-10-m-2x1-5-mm2-nv-4-10-or-1-5-17500")</f>
        <v>0.0</v>
      </c>
      <c r="E1936" s="7" t="n">
        <f>HYPERLINK("https://www.somogyi.sk/productimages/product_main_images/small/17500.jpg","https://www.somogyi.sk/productimages/product_main_images/small/17500.jpg")</f>
        <v>0.0</v>
      </c>
      <c r="F1936" s="2" t="inlineStr">
        <is>
          <t>5999084955229</t>
        </is>
      </c>
      <c r="G1936" s="4" t="inlineStr">
        <is>
          <t xml:space="preserve"> • farba: oranžová 
 • uzemnenie: nie 
 • typ kábla: H05VV-F 2 x 1,5 mm² 
 • dĺžka kábla: 10 m 
 • menovité napätie: 250 V~ 
 • menovitý prúd: max. 16 A 
 • menovitý príkon: 3680 W 
 • počet zásuviek: 1 ks</t>
        </is>
      </c>
    </row>
    <row r="1937">
      <c r="A1937" s="6" t="inlineStr">
        <is>
          <t xml:space="preserve">   Elektrina / Zásuvka, rozbočovač</t>
        </is>
      </c>
      <c r="B1937" s="6" t="inlineStr">
        <is>
          <t/>
        </is>
      </c>
      <c r="C1937" s="6" t="inlineStr">
        <is>
          <t/>
        </is>
      </c>
      <c r="D1937" s="6" t="inlineStr">
        <is>
          <t/>
        </is>
      </c>
      <c r="E1937" s="6" t="inlineStr">
        <is>
          <t/>
        </is>
      </c>
      <c r="F1937" s="6" t="inlineStr">
        <is>
          <t/>
        </is>
      </c>
      <c r="G1937" s="6" t="inlineStr">
        <is>
          <t/>
        </is>
      </c>
    </row>
    <row r="1938">
      <c r="A1938" s="3" t="inlineStr">
        <is>
          <t>NV 23/WH</t>
        </is>
      </c>
      <c r="B1938" s="2" t="inlineStr">
        <is>
          <t xml:space="preserve">Sieťový rozbočovač, 3 euro zásuvky </t>
        </is>
      </c>
      <c r="C1938" s="1" t="n">
        <v>1.79</v>
      </c>
      <c r="D1938" s="7" t="n">
        <f>HYPERLINK("https://www.somogyi.sk/product/sietovy-rozbocovac-3-euro-zasuvky-nv-23-wh-2781","https://www.somogyi.sk/product/sietovy-rozbocovac-3-euro-zasuvky-nv-23-wh-2781")</f>
        <v>0.0</v>
      </c>
      <c r="E1938" s="7" t="n">
        <f>HYPERLINK("https://www.somogyi.sk/productimages/product_main_images/small/02781.jpg","https://www.somogyi.sk/productimages/product_main_images/small/02781.jpg")</f>
        <v>0.0</v>
      </c>
      <c r="F1938" s="2" t="inlineStr">
        <is>
          <t>5998312731055</t>
        </is>
      </c>
      <c r="G1938" s="4" t="inlineStr">
        <is>
          <t xml:space="preserve"> • menovité napätie: 250 V~ 
 • menovitý prúd: 3 x 2,5 A 
 • menovitý príkon: 3 x 500 W 
 • počet zásuviek: 3 ks euro 
 • uzemnenie: nie 
 • vypínač: nie 
 • farba: biela 
 • IP stupeň ochrany: IP20 
 • detská poistka: áno</t>
        </is>
      </c>
    </row>
    <row r="1939">
      <c r="A1939" s="3" t="inlineStr">
        <is>
          <t>NV 24/WH</t>
        </is>
      </c>
      <c r="B1939" s="2" t="inlineStr">
        <is>
          <t xml:space="preserve">Sieťový rozbočovač, 4 euro zásuvky </t>
        </is>
      </c>
      <c r="C1939" s="1" t="n">
        <v>1.99</v>
      </c>
      <c r="D1939" s="7" t="n">
        <f>HYPERLINK("https://www.somogyi.sk/product/sietovy-rozbocovac-4-euro-zasuvky-nv-24-wh-2782","https://www.somogyi.sk/product/sietovy-rozbocovac-4-euro-zasuvky-nv-24-wh-2782")</f>
        <v>0.0</v>
      </c>
      <c r="E1939" s="7" t="n">
        <f>HYPERLINK("https://www.somogyi.sk/productimages/product_main_images/small/02782.jpg","https://www.somogyi.sk/productimages/product_main_images/small/02782.jpg")</f>
        <v>0.0</v>
      </c>
      <c r="F1939" s="2" t="inlineStr">
        <is>
          <t>5998312731062</t>
        </is>
      </c>
      <c r="G1939" s="4" t="inlineStr">
        <is>
          <t xml:space="preserve"> • menovité napätie: 250 V~ 
 • menovitý prúd: 4 x 2,5 A 
 • menovitý príkon: 4 x 500 W 
 • počet zásuviek: 4 ks euro 
 • uzemnenie: nie 
 • vypínač: nie 
 • farba: biela 
 • IP stupeň ochrany: IP20 
 • detská poistka: áno</t>
        </is>
      </c>
    </row>
    <row r="1940">
      <c r="A1940" s="3" t="inlineStr">
        <is>
          <t>NV 1/WH</t>
        </is>
      </c>
      <c r="B1940" s="2" t="inlineStr">
        <is>
          <t xml:space="preserve">Sieťový rozbočovač, 2 euro zásuvky </t>
        </is>
      </c>
      <c r="C1940" s="1" t="n">
        <v>1.19</v>
      </c>
      <c r="D1940" s="7" t="n">
        <f>HYPERLINK("https://www.somogyi.sk/product/sietovy-rozbocovac-2-euro-zasuvky-nv-1-wh-1995","https://www.somogyi.sk/product/sietovy-rozbocovac-2-euro-zasuvky-nv-1-wh-1995")</f>
        <v>0.0</v>
      </c>
      <c r="E1940" s="7" t="n">
        <f>HYPERLINK("https://www.somogyi.sk/productimages/product_main_images/small/01995.jpg","https://www.somogyi.sk/productimages/product_main_images/small/01995.jpg")</f>
        <v>0.0</v>
      </c>
      <c r="F1940" s="2" t="inlineStr">
        <is>
          <t>5998312715512</t>
        </is>
      </c>
      <c r="G1940" s="4" t="inlineStr">
        <is>
          <t xml:space="preserve"> • menovité napätie: 250 V~ 
 • menovitý prúd: 2 x 2,5 A 
 • menovitý príkon: 2 x 500 W 
 • počet zásuviek: 2 ks euro 
 • uzemnenie: nie 
 • vypínač: nie 
 • farba: biela 
 • IP stupeň ochrany: IP20 
 • detská poistka: áno</t>
        </is>
      </c>
    </row>
    <row r="1941">
      <c r="A1941" s="3" t="inlineStr">
        <is>
          <t>NV 13/WH</t>
        </is>
      </c>
      <c r="B1941" s="2" t="inlineStr">
        <is>
          <t>Sieťový rozbočovač, 3 zásuvky (2 euro + 1 uzemnená)</t>
        </is>
      </c>
      <c r="C1941" s="1" t="n">
        <v>2.39</v>
      </c>
      <c r="D1941" s="7" t="n">
        <f>HYPERLINK("https://www.somogyi.sk/product/sietovy-rozbocovac-3-zasuvky-2-euro-1-uzemnena-nv-13-wh-2509","https://www.somogyi.sk/product/sietovy-rozbocovac-3-zasuvky-2-euro-1-uzemnena-nv-13-wh-2509")</f>
        <v>0.0</v>
      </c>
      <c r="E1941" s="7" t="n">
        <f>HYPERLINK("https://www.somogyi.sk/productimages/product_main_images/small/02509.jpg","https://www.somogyi.sk/productimages/product_main_images/small/02509.jpg")</f>
        <v>0.0</v>
      </c>
      <c r="F1941" s="2" t="inlineStr">
        <is>
          <t>5998312728215</t>
        </is>
      </c>
      <c r="G1941" s="4" t="inlineStr">
        <is>
          <t xml:space="preserve"> • menovité napätie: 250 V~ 
 • menovitý prúd: max. 16 A 
 • menovitý príkon: max. 3500 W 
 • počet zásuviek: 2 ks euro / 1 ks uzemnená 
 • uzemnenie: áno 
 • vypínač: nie 
 • farba: biela 
 • IP stupeň ochrany: IP20 
 • detská poistka: áno 
 • ostatné funkcie: uzemnená zásuvka: 16 A / 3500 W; euro zásuvka: 2,5 A / 500 W /ks 
 • ďalšie informácie: uzemnená zásuvka: 16 A / 3500 W; euro zásuvka: 2,5 A / 500 W / ks</t>
        </is>
      </c>
    </row>
    <row r="1942">
      <c r="A1942" s="6" t="inlineStr">
        <is>
          <t xml:space="preserve">   Elektrina / Montovateľná zástrčka / zásuvka,  detská poistka do zásuvky</t>
        </is>
      </c>
      <c r="B1942" s="6" t="inlineStr">
        <is>
          <t/>
        </is>
      </c>
      <c r="C1942" s="6" t="inlineStr">
        <is>
          <t/>
        </is>
      </c>
      <c r="D1942" s="6" t="inlineStr">
        <is>
          <t/>
        </is>
      </c>
      <c r="E1942" s="6" t="inlineStr">
        <is>
          <t/>
        </is>
      </c>
      <c r="F1942" s="6" t="inlineStr">
        <is>
          <t/>
        </is>
      </c>
      <c r="G1942" s="6" t="inlineStr">
        <is>
          <t/>
        </is>
      </c>
    </row>
    <row r="1943">
      <c r="A1943" s="3" t="inlineStr">
        <is>
          <t>0795S</t>
        </is>
      </c>
      <c r="B1943" s="2" t="inlineStr">
        <is>
          <t>Uzemnená zástrčka s podsvieteným spínačom</t>
        </is>
      </c>
      <c r="C1943" s="1" t="n">
        <v>4.59</v>
      </c>
      <c r="D1943" s="7" t="n">
        <f>HYPERLINK("https://www.somogyi.sk/product/uzemnena-zastrcka-s-podsvietenym-spinacom-0795s-10109","https://www.somogyi.sk/product/uzemnena-zastrcka-s-podsvietenym-spinacom-0795s-10109")</f>
        <v>0.0</v>
      </c>
      <c r="E1943" s="7" t="n">
        <f>HYPERLINK("https://www.somogyi.sk/productimages/product_main_images/small/10109.jpg","https://www.somogyi.sk/productimages/product_main_images/small/10109.jpg")</f>
        <v>0.0</v>
      </c>
      <c r="F1943" s="2" t="inlineStr">
        <is>
          <t>4004282407959</t>
        </is>
      </c>
      <c r="G1943" s="4" t="inlineStr">
        <is>
          <t xml:space="preserve"> • menovité napätie: 250 V~ 
 • menovitý prúd: 16 A 
 • uzemnenie: áno 
 • farba: biela 
 • IP stupeň ochrany: IP 20 
 • vypínač: áno</t>
        </is>
      </c>
    </row>
    <row r="1944">
      <c r="A1944" s="3" t="inlineStr">
        <is>
          <t>NV FP 2</t>
        </is>
      </c>
      <c r="B1944" s="2" t="inlineStr">
        <is>
          <t xml:space="preserve">Uzemnená pripojovacia vidlica, extra plochá </t>
        </is>
      </c>
      <c r="C1944" s="1" t="n">
        <v>2.39</v>
      </c>
      <c r="D1944" s="7" t="n">
        <f>HYPERLINK("https://www.somogyi.sk/product/uzemnena-pripojovacia-vidlica-extra-plocha-nv-fp-2-14330","https://www.somogyi.sk/product/uzemnena-pripojovacia-vidlica-extra-plocha-nv-fp-2-14330")</f>
        <v>0.0</v>
      </c>
      <c r="E1944" s="7" t="n">
        <f>HYPERLINK("https://www.somogyi.sk/productimages/product_main_images/small/14330.jpg","https://www.somogyi.sk/productimages/product_main_images/small/14330.jpg")</f>
        <v>0.0</v>
      </c>
      <c r="F1944" s="2" t="inlineStr">
        <is>
          <t>5999084923785</t>
        </is>
      </c>
      <c r="G1944" s="4" t="inlineStr">
        <is>
          <t xml:space="preserve"> • menovité napätie: 250 V~ 
 • menovitý prúd: 16 A 
 • menovitý príkon: 3500 W 
 • uzemnenie: áno 
 • farba: biela 
 • IP stupeň ochrany: IP20</t>
        </is>
      </c>
    </row>
    <row r="1945">
      <c r="A1945" s="3" t="inlineStr">
        <is>
          <t>NGD 02</t>
        </is>
      </c>
      <c r="B1945" s="2" t="inlineStr">
        <is>
          <t>IP44 uzemnená vidlica s 45° vývodom kábla</t>
        </is>
      </c>
      <c r="C1945" s="1" t="n">
        <v>1.99</v>
      </c>
      <c r="D1945" s="7" t="n">
        <f>HYPERLINK("https://www.somogyi.sk/product/ip44-uzemnena-vidlica-s-45-vyvodom-kabla-ngd-02-15414","https://www.somogyi.sk/product/ip44-uzemnena-vidlica-s-45-vyvodom-kabla-ngd-02-15414")</f>
        <v>0.0</v>
      </c>
      <c r="E1945" s="7" t="n">
        <f>HYPERLINK("https://www.somogyi.sk/productimages/product_main_images/small/15414.jpg","https://www.somogyi.sk/productimages/product_main_images/small/15414.jpg")</f>
        <v>0.0</v>
      </c>
      <c r="F1945" s="2" t="inlineStr">
        <is>
          <t>5999084934484</t>
        </is>
      </c>
      <c r="G1945" s="4" t="inlineStr">
        <is>
          <t xml:space="preserve"> • menovité napätie: 250 V~ 
 • menovitý prúd: max. 16 A 
 • menovitý príkon: max. 3680 W 
 • uzemnenie: áno 
 • farba: čierna 
 • IP stupeň ochrany: IP20 
 • vývod kábla: 45°</t>
        </is>
      </c>
    </row>
    <row r="1946">
      <c r="A1946" s="3" t="inlineStr">
        <is>
          <t>NGD 03</t>
        </is>
      </c>
      <c r="B1946" s="2" t="inlineStr">
        <is>
          <t>Uzemnená vidlica voľná, IP44, biela, rovný vývod kábla</t>
        </is>
      </c>
      <c r="C1946" s="1" t="n">
        <v>1.89</v>
      </c>
      <c r="D1946" s="7" t="n">
        <f>HYPERLINK("https://www.somogyi.sk/product/uzemnena-vidlica-volna-ip44-biela-rovny-vyvod-kabla-ngd-03-15858","https://www.somogyi.sk/product/uzemnena-vidlica-volna-ip44-biela-rovny-vyvod-kabla-ngd-03-15858")</f>
        <v>0.0</v>
      </c>
      <c r="E1946" s="7" t="n">
        <f>HYPERLINK("https://www.somogyi.sk/productimages/product_main_images/small/15858.jpg","https://www.somogyi.sk/productimages/product_main_images/small/15858.jpg")</f>
        <v>0.0</v>
      </c>
      <c r="F1946" s="2" t="inlineStr">
        <is>
          <t>5999084938925</t>
        </is>
      </c>
      <c r="G1946" s="4" t="inlineStr">
        <is>
          <t xml:space="preserve"> • menovité napätie: 250 V~ 
 • menovitý prúd: max. 16 A 
 • menovitý príkon: max. 3680 W 
 • uzemnenie: áno 
 • farba: biela 
 • IP stupeň ochrany: IP44 
 • vývod kábla: rovný</t>
        </is>
      </c>
    </row>
    <row r="1947">
      <c r="A1947" s="6" t="inlineStr">
        <is>
          <t xml:space="preserve">   Elektrina / Sieťový kábel, prípojka</t>
        </is>
      </c>
      <c r="B1947" s="6" t="inlineStr">
        <is>
          <t/>
        </is>
      </c>
      <c r="C1947" s="6" t="inlineStr">
        <is>
          <t/>
        </is>
      </c>
      <c r="D1947" s="6" t="inlineStr">
        <is>
          <t/>
        </is>
      </c>
      <c r="E1947" s="6" t="inlineStr">
        <is>
          <t/>
        </is>
      </c>
      <c r="F1947" s="6" t="inlineStr">
        <is>
          <t/>
        </is>
      </c>
      <c r="G1947" s="6" t="inlineStr">
        <is>
          <t/>
        </is>
      </c>
    </row>
    <row r="1948">
      <c r="A1948" s="3" t="inlineStr">
        <is>
          <t>N 8-3/1,5</t>
        </is>
      </c>
      <c r="B1948" s="2" t="inlineStr">
        <is>
          <t>Sieťový pripojovací kábel, 3x1,5, 3m</t>
        </is>
      </c>
      <c r="C1948" s="1" t="n">
        <v>9.19</v>
      </c>
      <c r="D1948" s="7" t="n">
        <f>HYPERLINK("https://www.somogyi.sk/product/sietovy-pripojovaci-kabel-3x1-5-3m-n-8-3-1-5-9806","https://www.somogyi.sk/product/sietovy-pripojovaci-kabel-3x1-5-3m-n-8-3-1-5-9806")</f>
        <v>0.0</v>
      </c>
      <c r="E1948" s="7" t="n">
        <f>HYPERLINK("https://www.somogyi.sk/productimages/product_main_images/small/09806.jpg","https://www.somogyi.sk/productimages/product_main_images/small/09806.jpg")</f>
        <v>0.0</v>
      </c>
      <c r="F1948" s="2" t="inlineStr">
        <is>
          <t>5998312785324</t>
        </is>
      </c>
      <c r="G1948" s="4" t="inlineStr">
        <is>
          <t xml:space="preserve"> • napätie: 250 V~ 
 • zaťažiteľnosť: 16 A / 3680 W 
 • kábel: H05RR-F 3 x 1,5 mm² 
 • dĺžka kábla: 3 m 
 • ďalšie informácie: IP44 
 • prípojky: GS / s pocínovaným koncom 
 • s ochranným kontaktom: áno</t>
        </is>
      </c>
    </row>
    <row r="1949">
      <c r="A1949" s="3" t="inlineStr">
        <is>
          <t>N 11/VDE</t>
        </is>
      </c>
      <c r="B1949" s="2" t="inlineStr">
        <is>
          <t>Sieťový pripojovací kábel, 2x0,5, 1,5m</t>
        </is>
      </c>
      <c r="C1949" s="1" t="n">
        <v>2.19</v>
      </c>
      <c r="D1949" s="7" t="n">
        <f>HYPERLINK("https://www.somogyi.sk/product/sietovy-pripojovaci-kabel-2x0-5-1-5m-n-11-vde-3139","https://www.somogyi.sk/product/sietovy-pripojovaci-kabel-2x0-5-1-5m-n-11-vde-3139")</f>
        <v>0.0</v>
      </c>
      <c r="E1949" s="7" t="n">
        <f>HYPERLINK("https://www.somogyi.sk/productimages/product_main_images/small/03139.jpg","https://www.somogyi.sk/productimages/product_main_images/small/03139.jpg")</f>
        <v>0.0</v>
      </c>
      <c r="F1949" s="2" t="inlineStr">
        <is>
          <t>5998312734636</t>
        </is>
      </c>
      <c r="G1949" s="4" t="inlineStr">
        <is>
          <t xml:space="preserve"> • napätie: 250 V~ 
 • zaťažiteľnosť: 2,5 A / 500 W 
 • kábel: 2 x 0,5 mm² 
 • dĺžka kábla: 1,5 m 
 • prípojky: euro / 2-pólová</t>
        </is>
      </c>
    </row>
    <row r="1950">
      <c r="A1950" s="3" t="inlineStr">
        <is>
          <t>N 1X</t>
        </is>
      </c>
      <c r="B1950" s="2" t="inlineStr">
        <is>
          <t>Sieťový pripojovací kábel, 2x0,75, 1,5m, blister</t>
        </is>
      </c>
      <c r="C1950" s="1" t="n">
        <v>3.09</v>
      </c>
      <c r="D1950" s="7" t="n">
        <f>HYPERLINK("https://www.somogyi.sk/product/sietovy-pripojovaci-kabel-2x0-75-1-5m-blister-n-1x-2173","https://www.somogyi.sk/product/sietovy-pripojovaci-kabel-2x0-75-1-5m-blister-n-1x-2173")</f>
        <v>0.0</v>
      </c>
      <c r="E1950" s="7" t="n">
        <f>HYPERLINK("https://www.somogyi.sk/productimages/product_main_images/small/02173.jpg","https://www.somogyi.sk/productimages/product_main_images/small/02173.jpg")</f>
        <v>0.0</v>
      </c>
      <c r="F1950" s="2" t="inlineStr">
        <is>
          <t>5998312724385</t>
        </is>
      </c>
      <c r="G1950" s="4" t="inlineStr">
        <is>
          <t xml:space="preserve"> • napätie: 250 V~ 
 • zaťažiteľnosť: 2,5 A / 500 W 
 • kábel: 2 x 0,75 mm² 
 • dĺžka kábla: 1,5 m 
 • prípojky: euro / 2-pólová 
 • blister: áno</t>
        </is>
      </c>
    </row>
    <row r="1951">
      <c r="A1951" s="3" t="inlineStr">
        <is>
          <t>N 2/VDE</t>
        </is>
      </c>
      <c r="B1951" s="2" t="inlineStr">
        <is>
          <t>Sieťový pripojovací kábel, 2x0,75, 1,5m, pocínované koncovky</t>
        </is>
      </c>
      <c r="C1951" s="1" t="n">
        <v>1.99</v>
      </c>
      <c r="D1951" s="7" t="n">
        <f>HYPERLINK("https://www.somogyi.sk/product/sietovy-pripojovaci-kabel-2x0-75-1-5m-pocinovane-koncovky-n-2-vde-2141","https://www.somogyi.sk/product/sietovy-pripojovaci-kabel-2x0-75-1-5m-pocinovane-koncovky-n-2-vde-2141")</f>
        <v>0.0</v>
      </c>
      <c r="E1951" s="7" t="n">
        <f>HYPERLINK("https://www.somogyi.sk/productimages/product_main_images/small/02141.jpg","https://www.somogyi.sk/productimages/product_main_images/small/02141.jpg")</f>
        <v>0.0</v>
      </c>
      <c r="F1951" s="2" t="inlineStr">
        <is>
          <t>5998312724019</t>
        </is>
      </c>
      <c r="G1951" s="4" t="inlineStr">
        <is>
          <t xml:space="preserve"> • napätie: 250 V~ 
 • zaťažiteľnosť: 2,5 A / 500 W 
 • kábel: 2 x 0,75 mm² 
 • dĺžka kábla: 1,5 m 
 • prípojky: euro / s pocínovaným koncom</t>
        </is>
      </c>
    </row>
    <row r="1952">
      <c r="A1952" s="3" t="inlineStr">
        <is>
          <t>AC 2D</t>
        </is>
      </c>
      <c r="B1952" s="2" t="inlineStr">
        <is>
          <t>AC zabudovateľná vidlica, 3 pólová</t>
        </is>
      </c>
      <c r="C1952" s="1" t="n">
        <v>1.09</v>
      </c>
      <c r="D1952" s="7" t="n">
        <f>HYPERLINK("https://www.somogyi.sk/product/ac-zabudovatelna-vidlica-3-polova-ac-2d-1707","https://www.somogyi.sk/product/ac-zabudovatelna-vidlica-3-polova-ac-2d-1707")</f>
        <v>0.0</v>
      </c>
      <c r="E1952" s="7" t="n">
        <f>HYPERLINK("https://www.somogyi.sk/productimages/product_main_images/small/01707.jpg","https://www.somogyi.sk/productimages/product_main_images/small/01707.jpg")</f>
        <v>0.0</v>
      </c>
      <c r="F1952" s="2" t="inlineStr">
        <is>
          <t>5998312700754</t>
        </is>
      </c>
      <c r="G1952" s="4" t="inlineStr">
        <is>
          <t xml:space="preserve"> • napätie: 250 V~ 
 • prípojky: spájkovateľná 
 • s ochranným kontaktom: áno</t>
        </is>
      </c>
    </row>
    <row r="1953">
      <c r="A1953" s="3" t="inlineStr">
        <is>
          <t>AC 1A</t>
        </is>
      </c>
      <c r="B1953" s="2" t="inlineStr">
        <is>
          <t>AC zásuvka, 3 pólová</t>
        </is>
      </c>
      <c r="C1953" s="1" t="n">
        <v>1.79</v>
      </c>
      <c r="D1953" s="7" t="n">
        <f>HYPERLINK("https://www.somogyi.sk/product/ac-zasuvka-3-polova-ac-1a-1702","https://www.somogyi.sk/product/ac-zasuvka-3-polova-ac-1a-1702")</f>
        <v>0.0</v>
      </c>
      <c r="E1953" s="7" t="n">
        <f>HYPERLINK("https://www.somogyi.sk/productimages/product_main_images/small/01702.jpg","https://www.somogyi.sk/productimages/product_main_images/small/01702.jpg")</f>
        <v>0.0</v>
      </c>
      <c r="F1953" s="2" t="inlineStr">
        <is>
          <t>5998312700679</t>
        </is>
      </c>
      <c r="G1953" s="4" t="inlineStr">
        <is>
          <t xml:space="preserve"> • napätie: 250 V~ 
 • prípojky: skrutkovateľná 
 • s ochranným kontaktom: áno</t>
        </is>
      </c>
    </row>
    <row r="1954">
      <c r="A1954" s="3" t="inlineStr">
        <is>
          <t>N 10-5/1,0</t>
        </is>
      </c>
      <c r="B1954" s="2" t="inlineStr">
        <is>
          <t>Sieťový pripojovací kábel, 2x1, 5m</t>
        </is>
      </c>
      <c r="C1954" s="1" t="n">
        <v>7.69</v>
      </c>
      <c r="D1954" s="7" t="n">
        <f>HYPERLINK("https://www.somogyi.sk/product/sietovy-pripojovaci-kabel-2x1-5m-n-10-5-1-0-9811","https://www.somogyi.sk/product/sietovy-pripojovaci-kabel-2x1-5m-n-10-5-1-0-9811")</f>
        <v>0.0</v>
      </c>
      <c r="E1954" s="7" t="n">
        <f>HYPERLINK("https://www.somogyi.sk/productimages/product_main_images/small/09811.jpg","https://www.somogyi.sk/productimages/product_main_images/small/09811.jpg")</f>
        <v>0.0</v>
      </c>
      <c r="F1954" s="2" t="inlineStr">
        <is>
          <t>5998312785379</t>
        </is>
      </c>
      <c r="G1954" s="4" t="inlineStr">
        <is>
          <t xml:space="preserve"> • napätie: 250 V~ 
 • zaťažiteľnosť: 10 A / 2300 W 
 • kábel: H05RN-F 2 x 1 mm² 
 • dĺžka kábla: 5 m 
 • ďalšie informácie: IP44 
 • prípojky: GS / s pocínovaným koncom</t>
        </is>
      </c>
    </row>
    <row r="1955">
      <c r="A1955" s="3" t="inlineStr">
        <is>
          <t>N 5</t>
        </is>
      </c>
      <c r="B1955" s="2" t="inlineStr">
        <is>
          <t>Sieťový pripojovací kábel PC, 3x0,75, 2m</t>
        </is>
      </c>
      <c r="C1955" s="1" t="n">
        <v>4.99</v>
      </c>
      <c r="D1955" s="7" t="n">
        <f>HYPERLINK("https://www.somogyi.sk/product/sietovy-pripojovaci-kabel-pc-3x0-75-2m-n-5-1813","https://www.somogyi.sk/product/sietovy-pripojovaci-kabel-pc-3x0-75-2m-n-5-1813")</f>
        <v>0.0</v>
      </c>
      <c r="E1955" s="7" t="n">
        <f>HYPERLINK("https://www.somogyi.sk/productimages/product_main_images/small/01813.jpg","https://www.somogyi.sk/productimages/product_main_images/small/01813.jpg")</f>
        <v>0.0</v>
      </c>
      <c r="F1955" s="2" t="inlineStr">
        <is>
          <t>5998312703205</t>
        </is>
      </c>
      <c r="G1955" s="4" t="inlineStr">
        <is>
          <t xml:space="preserve"> • napätie: 250 V~ 
 • zaťažiteľnosť: 10 A / 2300 W 
 • kábel: 3 x 0,75 mm² 
 • dĺžka kábla: 2 m 
 • prípojky: GS / 3-pólová 
 • s ochranným kontaktom: áno</t>
        </is>
      </c>
    </row>
    <row r="1956">
      <c r="A1956" s="3" t="inlineStr">
        <is>
          <t>N 5X</t>
        </is>
      </c>
      <c r="B1956" s="2" t="inlineStr">
        <is>
          <t>Sieťový pripojovací kábel PC, 3x0,75, 2m, blister</t>
        </is>
      </c>
      <c r="C1956" s="1" t="n">
        <v>5.69</v>
      </c>
      <c r="D1956" s="7" t="n">
        <f>HYPERLINK("https://www.somogyi.sk/product/sietovy-pripojovaci-kabel-pc-3x0-75-2m-blister-n-5x-2175","https://www.somogyi.sk/product/sietovy-pripojovaci-kabel-pc-3x0-75-2m-blister-n-5x-2175")</f>
        <v>0.0</v>
      </c>
      <c r="E1956" s="7" t="n">
        <f>HYPERLINK("https://www.somogyi.sk/productimages/product_main_images/small/02175.jpg","https://www.somogyi.sk/productimages/product_main_images/small/02175.jpg")</f>
        <v>0.0</v>
      </c>
      <c r="F1956" s="2" t="inlineStr">
        <is>
          <t>5998312724408</t>
        </is>
      </c>
      <c r="G1956" s="4" t="inlineStr">
        <is>
          <t xml:space="preserve"> • napätie: 250 V~ 
 • zaťažiteľnosť: 10 A / 2300 W 
 • kábel: 3 x 0,75 mm² 
 • dĺžka kábla: 2 m 
 • prípojky: GS / 3 pólová 
 • s ochranným kontaktom: áno 
 • blister: áno</t>
        </is>
      </c>
    </row>
    <row r="1957">
      <c r="A1957" s="3" t="inlineStr">
        <is>
          <t>N 2K-2/BK</t>
        </is>
      </c>
      <c r="B1957" s="2" t="inlineStr">
        <is>
          <t>Sieťový kábel so spínačom, 2 m, čierna farba</t>
        </is>
      </c>
      <c r="C1957" s="1" t="n">
        <v>3.49</v>
      </c>
      <c r="D1957" s="7" t="n">
        <f>HYPERLINK("https://www.somogyi.sk/product/sietovy-kabel-so-spinacom-2-m-cierna-farba-n-2k-2-bk-15829","https://www.somogyi.sk/product/sietovy-kabel-so-spinacom-2-m-cierna-farba-n-2k-2-bk-15829")</f>
        <v>0.0</v>
      </c>
      <c r="E1957" s="7" t="n">
        <f>HYPERLINK("https://www.somogyi.sk/productimages/product_main_images/small/15829.jpg","https://www.somogyi.sk/productimages/product_main_images/small/15829.jpg")</f>
        <v>0.0</v>
      </c>
      <c r="F1957" s="2" t="inlineStr">
        <is>
          <t>5999084938635</t>
        </is>
      </c>
      <c r="G1957" s="4" t="inlineStr">
        <is>
          <t xml:space="preserve"> • napätie: 250 V~ 
 • zaťažiteľnosť: 2 A / 460 W 
 • kábel: H03VVH2-F 2 x 0,75 mm² 
 • dĺžka kábla: 2 m (1,5 m   0,5 m) 
 • ďalšie informácie: s jednopólovým spínačom, čierna 
 • prípojky: euro / pocínovaná koncovka</t>
        </is>
      </c>
    </row>
    <row r="1958">
      <c r="A1958" s="3" t="inlineStr">
        <is>
          <t>N 8-5/1,5</t>
        </is>
      </c>
      <c r="B1958" s="2" t="inlineStr">
        <is>
          <t>Sieťový pripojovací kábel, 3x1,5, 5m</t>
        </is>
      </c>
      <c r="C1958" s="1" t="n">
        <v>13.49</v>
      </c>
      <c r="D1958" s="7" t="n">
        <f>HYPERLINK("https://www.somogyi.sk/product/sietovy-pripojovaci-kabel-3x1-5-5m-n-8-5-1-5-9807","https://www.somogyi.sk/product/sietovy-pripojovaci-kabel-3x1-5-5m-n-8-5-1-5-9807")</f>
        <v>0.0</v>
      </c>
      <c r="E1958" s="7" t="n">
        <f>HYPERLINK("https://www.somogyi.sk/productimages/product_main_images/small/09807.jpg","https://www.somogyi.sk/productimages/product_main_images/small/09807.jpg")</f>
        <v>0.0</v>
      </c>
      <c r="F1958" s="2" t="inlineStr">
        <is>
          <t>5998312785331</t>
        </is>
      </c>
      <c r="G1958" s="4" t="inlineStr">
        <is>
          <t xml:space="preserve"> • napätie: 250 V~ 
 • zaťažiteľnosť: 16 A / 3680 W 
 • kábel: H05RR-F 3 x 1,5 mm² 
 • dĺžka kábla: 5 m 
 • ďalšie informácie: IP44 
 • prípojky: GS / s pocínovaným koncom 
 • s ochranným kontaktom: áno</t>
        </is>
      </c>
    </row>
    <row r="1959">
      <c r="A1959" s="3" t="inlineStr">
        <is>
          <t>N 10-3/1,0</t>
        </is>
      </c>
      <c r="B1959" s="2" t="inlineStr">
        <is>
          <t>Sieťový pripojovací kábel, 2x1, 3m</t>
        </is>
      </c>
      <c r="C1959" s="1" t="n">
        <v>4.79</v>
      </c>
      <c r="D1959" s="7" t="n">
        <f>HYPERLINK("https://www.somogyi.sk/product/sietovy-pripojovaci-kabel-2x1-3m-n-10-3-1-0-9810","https://www.somogyi.sk/product/sietovy-pripojovaci-kabel-2x1-3m-n-10-3-1-0-9810")</f>
        <v>0.0</v>
      </c>
      <c r="E1959" s="7" t="n">
        <f>HYPERLINK("https://www.somogyi.sk/productimages/product_main_images/small/09810.jpg","https://www.somogyi.sk/productimages/product_main_images/small/09810.jpg")</f>
        <v>0.0</v>
      </c>
      <c r="F1959" s="2" t="inlineStr">
        <is>
          <t>5998312785362</t>
        </is>
      </c>
      <c r="G1959" s="4" t="inlineStr">
        <is>
          <t xml:space="preserve"> • napätie: 250 V~ 
 • zaťažiteľnosť: 10 A / 2300 W 
 • kábel: H05RN-F 2 x 1 mm² 
 • dĺžka kábla: 3 m 
 • ďalšie informácie: IP44 
 • prípojky: GS / s pocínovaným koncom</t>
        </is>
      </c>
    </row>
    <row r="1960">
      <c r="A1960" s="3" t="inlineStr">
        <is>
          <t>N 2K-2/WH</t>
        </is>
      </c>
      <c r="B1960" s="2" t="inlineStr">
        <is>
          <t>Sieťový napájací prívod so spínačom, 2x0,75, 2m, pocínované koncovky</t>
        </is>
      </c>
      <c r="C1960" s="1" t="n">
        <v>3.49</v>
      </c>
      <c r="D1960" s="7" t="n">
        <f>HYPERLINK("https://www.somogyi.sk/product/sietovy-napajaci-privod-so-spinacom-2x0-75-2m-pocinovane-koncovky-n-2k-2-wh-9812","https://www.somogyi.sk/product/sietovy-napajaci-privod-so-spinacom-2x0-75-2m-pocinovane-koncovky-n-2k-2-wh-9812")</f>
        <v>0.0</v>
      </c>
      <c r="E1960" s="7" t="n">
        <f>HYPERLINK("https://www.somogyi.sk/productimages/product_main_images/small/09812.jpg","https://www.somogyi.sk/productimages/product_main_images/small/09812.jpg")</f>
        <v>0.0</v>
      </c>
      <c r="F1960" s="2" t="inlineStr">
        <is>
          <t>5998312785386</t>
        </is>
      </c>
      <c r="G1960" s="4" t="inlineStr">
        <is>
          <t xml:space="preserve"> • napätie: 250 V~ 
 • zaťažiteľnosť: 2 A / 460 W 
 • kábel: H03VVH2-F 2 x 0,75 mm² 
 • dĺžka kábla: 2 m (1,5 m + 0,5 m) 
 • ďalšie informácie: s 1-pólovým spínačom 
 • prípojky: euro / s pocínovaným koncom</t>
        </is>
      </c>
    </row>
    <row r="1961">
      <c r="A1961" s="3" t="inlineStr">
        <is>
          <t>AC 1D</t>
        </is>
      </c>
      <c r="B1961" s="2" t="inlineStr">
        <is>
          <t>AC vidlica, 3 pólová</t>
        </is>
      </c>
      <c r="C1961" s="1" t="n">
        <v>1.79</v>
      </c>
      <c r="D1961" s="7" t="n">
        <f>HYPERLINK("https://www.somogyi.sk/product/ac-vidlica-3-polova-ac-1d-1703","https://www.somogyi.sk/product/ac-vidlica-3-polova-ac-1d-1703")</f>
        <v>0.0</v>
      </c>
      <c r="E1961" s="7" t="n">
        <f>HYPERLINK("https://www.somogyi.sk/productimages/product_main_images/small/01703.jpg","https://www.somogyi.sk/productimages/product_main_images/small/01703.jpg")</f>
        <v>0.0</v>
      </c>
      <c r="F1961" s="2" t="inlineStr">
        <is>
          <t>5998312700686</t>
        </is>
      </c>
      <c r="G1961" s="4" t="inlineStr">
        <is>
          <t xml:space="preserve"> • napätie: 250 V~ 
 • zaťažiteľnosť: 10 A / 2300 W 
 • prípojky: skrutkovateľná 
 • s ochranným kontaktom: áno</t>
        </is>
      </c>
    </row>
    <row r="1962">
      <c r="A1962" s="3" t="inlineStr">
        <is>
          <t>N 1-2WH/VDE</t>
        </is>
      </c>
      <c r="B1962" s="2" t="inlineStr">
        <is>
          <t>Sieťový prepojovací kábel  (2x0,75 mm2)</t>
        </is>
      </c>
      <c r="C1962" s="1" t="n">
        <v>2.69</v>
      </c>
      <c r="D1962" s="7" t="n">
        <f>HYPERLINK("https://www.somogyi.sk/product/sietovy-prepojovaci-kabel-2x0-75-mm2-n-1-2wh-vde-14920","https://www.somogyi.sk/product/sietovy-prepojovaci-kabel-2x0-75-mm2-n-1-2wh-vde-14920")</f>
        <v>0.0</v>
      </c>
      <c r="E1962" s="7" t="n">
        <f>HYPERLINK("https://www.somogyi.sk/productimages/product_main_images/small/14920.jpg","https://www.somogyi.sk/productimages/product_main_images/small/14920.jpg")</f>
        <v>0.0</v>
      </c>
      <c r="F1962" s="2" t="inlineStr">
        <is>
          <t>2221295500039</t>
        </is>
      </c>
      <c r="G1962" s="4" t="inlineStr">
        <is>
          <t xml:space="preserve"> • napätie: 250 V~ 
 • zaťažiteľnosť: 2,5 A / 500 W 
 • kábel: 2 x 0,75 mm² 
 • dĺžka kábla: 2 m 
 • prípojky: euro / 2-pólová</t>
        </is>
      </c>
    </row>
    <row r="1963">
      <c r="A1963" s="3" t="inlineStr">
        <is>
          <t>N 1/VDE</t>
        </is>
      </c>
      <c r="B1963" s="2" t="inlineStr">
        <is>
          <t>Sieťový pripojovací kábel, 2x0,75, 1,5m</t>
        </is>
      </c>
      <c r="C1963" s="1" t="n">
        <v>2.59</v>
      </c>
      <c r="D1963" s="7" t="n">
        <f>HYPERLINK("https://www.somogyi.sk/product/sietovy-pripojovaci-kabel-2x0-75-1-5m-n-1-vde-2630","https://www.somogyi.sk/product/sietovy-pripojovaci-kabel-2x0-75-1-5m-n-1-vde-2630")</f>
        <v>0.0</v>
      </c>
      <c r="E1963" s="7" t="n">
        <f>HYPERLINK("https://www.somogyi.sk/productimages/product_main_images/small/02630.jpg","https://www.somogyi.sk/productimages/product_main_images/small/02630.jpg")</f>
        <v>0.0</v>
      </c>
      <c r="F1963" s="2" t="inlineStr">
        <is>
          <t>5998312729458</t>
        </is>
      </c>
      <c r="G1963" s="4" t="inlineStr">
        <is>
          <t xml:space="preserve"> • napätie: 250 V~ 
 • zaťažiteľnosť: 2,5 A / 500 W 
 • kábel: 2 x 0,75 mm² 
 • dĺžka kábla: 1,5 m 
 • prípojky: euro /2-pólová</t>
        </is>
      </c>
    </row>
    <row r="1964">
      <c r="A1964" s="6" t="inlineStr">
        <is>
          <t xml:space="preserve">   Elektrina / Zásuvka s diaľkovým ovládaním</t>
        </is>
      </c>
      <c r="B1964" s="6" t="inlineStr">
        <is>
          <t/>
        </is>
      </c>
      <c r="C1964" s="6" t="inlineStr">
        <is>
          <t/>
        </is>
      </c>
      <c r="D1964" s="6" t="inlineStr">
        <is>
          <t/>
        </is>
      </c>
      <c r="E1964" s="6" t="inlineStr">
        <is>
          <t/>
        </is>
      </c>
      <c r="F1964" s="6" t="inlineStr">
        <is>
          <t/>
        </is>
      </c>
      <c r="G1964" s="6" t="inlineStr">
        <is>
          <t/>
        </is>
      </c>
    </row>
    <row r="1965">
      <c r="A1965" s="3" t="inlineStr">
        <is>
          <t>NVKP 01</t>
        </is>
      </c>
      <c r="B1965" s="2" t="inlineStr">
        <is>
          <t>Náhradný diaľkový spínač</t>
        </is>
      </c>
      <c r="C1965" s="1" t="n">
        <v>8.99</v>
      </c>
      <c r="D1965" s="7" t="n">
        <f>HYPERLINK("https://www.somogyi.sk/product/nahradny-dialkovy-spinac-nvkp-01-18050","https://www.somogyi.sk/product/nahradny-dialkovy-spinac-nvkp-01-18050")</f>
        <v>0.0</v>
      </c>
      <c r="E1965" s="7" t="n">
        <f>HYPERLINK("https://www.somogyi.sk/productimages/product_main_images/small/18050.jpg","https://www.somogyi.sk/productimages/product_main_images/small/18050.jpg")</f>
        <v>0.0</v>
      </c>
      <c r="F1965" s="2" t="inlineStr">
        <is>
          <t>5999084960728</t>
        </is>
      </c>
      <c r="G1965" s="4" t="inlineStr">
        <is>
          <t xml:space="preserve"> • dosah na otvorenom teréne: ~120 m 
 • prevádzková frekvencia: 433,92 MHz 
 • kompatibilita: DBK 1200AC, DBKS 1200AC, NVK SWITCH, NVK 3 SWITCH 
 •  
 • rozmery: 50 x 82 x 22 mm</t>
        </is>
      </c>
    </row>
    <row r="1966">
      <c r="A1966" s="6" t="inlineStr">
        <is>
          <t xml:space="preserve">   Elektrina / Predlžovací kábel na bubne s francúzskou zásuvkou</t>
        </is>
      </c>
      <c r="B1966" s="6" t="inlineStr">
        <is>
          <t/>
        </is>
      </c>
      <c r="C1966" s="6" t="inlineStr">
        <is>
          <t/>
        </is>
      </c>
      <c r="D1966" s="6" t="inlineStr">
        <is>
          <t/>
        </is>
      </c>
      <c r="E1966" s="6" t="inlineStr">
        <is>
          <t/>
        </is>
      </c>
      <c r="F1966" s="6" t="inlineStr">
        <is>
          <t/>
        </is>
      </c>
      <c r="G1966" s="6" t="inlineStr">
        <is>
          <t/>
        </is>
      </c>
    </row>
    <row r="1967">
      <c r="A1967" s="3" t="inlineStr">
        <is>
          <t>HJRF 4-40/1,5</t>
        </is>
      </c>
      <c r="B1967" s="2" t="inlineStr">
        <is>
          <t>Predlžovací kábel na bubne, kovový podstavec, 4 uzemnené zásuvky, 40m, 3x1,5nmm, francúzska n.</t>
        </is>
      </c>
      <c r="C1967" s="1" t="n">
        <v>82.99</v>
      </c>
      <c r="D1967" s="7" t="n">
        <f>HYPERLINK("https://www.somogyi.sk/product/predlzovaci-kabel-na-bubne-kovovy-podstavec-4-uzemnene-zasuvky-40m-3x1-5nmm-francuzska-n-hjrf-4-40-1-5-6338","https://www.somogyi.sk/product/predlzovaci-kabel-na-bubne-kovovy-podstavec-4-uzemnene-zasuvky-40m-3x1-5nmm-francuzska-n-hjrf-4-40-1-5-6338")</f>
        <v>0.0</v>
      </c>
      <c r="E1967" s="7" t="n">
        <f>HYPERLINK("https://www.somogyi.sk/productimages/product_main_images/small/06338.jpg","https://www.somogyi.sk/productimages/product_main_images/small/06338.jpg")</f>
        <v>0.0</v>
      </c>
      <c r="F1967" s="2" t="inlineStr">
        <is>
          <t>5998312753842</t>
        </is>
      </c>
      <c r="G1967" s="4" t="inlineStr">
        <is>
          <t xml:space="preserve"> • typ kábla: H05VV-F 3G 1,5  mm² 
 • dĺžka kábla: 40 m 
 • zapnutie tepelnej poistky: áno 
 • detská poistka: áno 
 • výkon v navinutom stave: 250 V~ / max. 1000 W 
 • výkon v rozvinutom stave: 250 V~ / max. 3000 W 
 • počet zásuviek: 4 
 • farba: oranžová 
 • IP stupeň ochrany: IP20</t>
        </is>
      </c>
    </row>
    <row r="1968">
      <c r="A1968" s="3" t="inlineStr">
        <is>
          <t>HJRF 4-25</t>
        </is>
      </c>
      <c r="B1968" s="2" t="inlineStr">
        <is>
          <t>Predlžovací kábel na bubne, kovový podstavec, 4 uzemnené zásuvky, 25 m, francúzska n.</t>
        </is>
      </c>
      <c r="C1968" s="1" t="n">
        <v>45.99</v>
      </c>
      <c r="D1968" s="7" t="n">
        <f>HYPERLINK("https://www.somogyi.sk/product/predlzovaci-kabel-na-bubne-kovovy-podstavec-4-uzemnene-zasuvky-25-m-francuzska-n-hjrf-4-25-6335","https://www.somogyi.sk/product/predlzovaci-kabel-na-bubne-kovovy-podstavec-4-uzemnene-zasuvky-25-m-francuzska-n-hjrf-4-25-6335")</f>
        <v>0.0</v>
      </c>
      <c r="E1968" s="7" t="n">
        <f>HYPERLINK("https://www.somogyi.sk/productimages/product_main_images/small/06335.jpg","https://www.somogyi.sk/productimages/product_main_images/small/06335.jpg")</f>
        <v>0.0</v>
      </c>
      <c r="F1968" s="2" t="inlineStr">
        <is>
          <t>5998312753811</t>
        </is>
      </c>
      <c r="G1968" s="4" t="inlineStr">
        <is>
          <t xml:space="preserve"> • typ kábla: H05VV-F 3G1,0 mm² 
 • dĺžka kábla: 25 m 
 • zapnutie tepelnej poistky: áno 
 • detská poistka: áno 
 • výkon v navinutom stave: 250 V~ / max. 1000 W 
 • výkon v rozvinutom stave: 250 V~ / max. 3000 W 
 • počet zásuviek: 4 
 • farba: čierna 
 • IP stupeň ochrany: IP20</t>
        </is>
      </c>
    </row>
    <row r="1969">
      <c r="A1969" s="3" t="inlineStr">
        <is>
          <t>HJRF 24-30</t>
        </is>
      </c>
      <c r="B1969" s="2" t="inlineStr">
        <is>
          <t>Predlžovací kábel na bubne, kovový podstavec, 1 spojka, 27+3m, francúzska n.</t>
        </is>
      </c>
      <c r="C1969" s="1" t="n">
        <v>53.99</v>
      </c>
      <c r="D1969" s="7" t="n">
        <f>HYPERLINK("https://www.somogyi.sk/product/predlzovaci-kabel-na-bubne-kovovy-podstavec-1-spojka-27-3m-francuzska-n-hjrf-24-30-8206","https://www.somogyi.sk/product/predlzovaci-kabel-na-bubne-kovovy-podstavec-1-spojka-27-3m-francuzska-n-hjrf-24-30-8206")</f>
        <v>0.0</v>
      </c>
      <c r="E1969" s="7" t="n">
        <f>HYPERLINK("https://www.somogyi.sk/productimages/product_main_images/small/08206.jpg","https://www.somogyi.sk/productimages/product_main_images/small/08206.jpg")</f>
        <v>0.0</v>
      </c>
      <c r="F1969" s="2" t="inlineStr">
        <is>
          <t>5998312771266</t>
        </is>
      </c>
      <c r="G1969" s="4" t="inlineStr">
        <is>
          <t xml:space="preserve"> • typ kábla: H05VV-F 3G 1,0  mm² 
 • dĺžka kábla: 27 + 3 m 
 • zapnutie tepelnej poistky: áno 
 • detská poistka: áno 
 • výkon v navinutom stave: 250 V~ / max. 900 W 
 • výkon v rozvinutom stave: 250 V~ / max. 2300 W 
 • počet zásuviek: 1 
 • farba: oranžová 
 • IP stupeň ochrany: IP20</t>
        </is>
      </c>
    </row>
    <row r="1970">
      <c r="A1970" s="3" t="inlineStr">
        <is>
          <t>HJRF 4-50/1,5</t>
        </is>
      </c>
      <c r="B1970" s="2" t="inlineStr">
        <is>
          <t>Predlžovací kábel na bubne, kovový podstavec, 4 uzemnené zásuvky, 50 m, 3 x1,5 nmm, francúzska n.</t>
        </is>
      </c>
      <c r="C1970" s="1" t="n">
        <v>105.9</v>
      </c>
      <c r="D1970" s="7" t="n">
        <f>HYPERLINK("https://www.somogyi.sk/product/predlzovaci-kabel-na-bubne-kovovy-podstavec-4-uzemnene-zasuvky-50-m-3-x1-5-nmm-francuzska-n-hjrf-4-50-1-5-6340","https://www.somogyi.sk/product/predlzovaci-kabel-na-bubne-kovovy-podstavec-4-uzemnene-zasuvky-50-m-3-x1-5-nmm-francuzska-n-hjrf-4-50-1-5-6340")</f>
        <v>0.0</v>
      </c>
      <c r="E1970" s="7" t="n">
        <f>HYPERLINK("https://www.somogyi.sk/productimages/product_main_images/small/06340.jpg","https://www.somogyi.sk/productimages/product_main_images/small/06340.jpg")</f>
        <v>0.0</v>
      </c>
      <c r="F1970" s="2" t="inlineStr">
        <is>
          <t>5998312753866</t>
        </is>
      </c>
      <c r="G1970" s="4" t="inlineStr">
        <is>
          <t xml:space="preserve"> • typ kábla: H05VV-F 3G 1,5  mm² 
 • dĺžka kábla: 50 m 
 • zapnutie tepelnej poistky: áno 
 • detská poistka: áno 
 • výkon v navinutom stave: 250 V~ / max. 1000 W 
 • výkon v rozvinutom stave: 250 V~ / max. 3000 W 
 • počet zásuviek: 4 
 • farba: oranžová 
 • IP stupeň ochrany: IP20</t>
        </is>
      </c>
    </row>
    <row r="1971">
      <c r="A1971" s="3" t="inlineStr">
        <is>
          <t>HJRF 10-30/1,5</t>
        </is>
      </c>
      <c r="B1971" s="2" t="inlineStr">
        <is>
          <t>Predlžovací prívod na bubne, 30 m</t>
        </is>
      </c>
      <c r="C1971" s="1" t="n">
        <v>80.99</v>
      </c>
      <c r="D1971" s="7" t="n">
        <f>HYPERLINK("https://www.somogyi.sk/product/predlzovaci-privod-na-bubne-30-m-hjrf-10-30-1-5-6342","https://www.somogyi.sk/product/predlzovaci-privod-na-bubne-30-m-hjrf-10-30-1-5-6342")</f>
        <v>0.0</v>
      </c>
      <c r="E1971" s="7" t="n">
        <f>HYPERLINK("https://www.somogyi.sk/productimages/product_main_images/small/06342.jpg","https://www.somogyi.sk/productimages/product_main_images/small/06342.jpg")</f>
        <v>0.0</v>
      </c>
      <c r="F1971" s="2" t="inlineStr">
        <is>
          <t>5998312753880</t>
        </is>
      </c>
      <c r="G1971" s="4" t="inlineStr">
        <is>
          <t xml:space="preserve"> • typ kábla: H07RN-F 3G1,5 mm² 
 • dĺžka kábla: 30 m 
 • zapnutie tepelnej poistky: áno 
 • výkon v navinutom stave: 250 V~ / max. 1000 W 
 • výkon v rozvinutom stave: 250 V~ / max. 3000 W 
 • počet zásuviek: 4 ks 
 • IP stupeň ochrany: IP44</t>
        </is>
      </c>
    </row>
    <row r="1972">
      <c r="A1972" s="6" t="inlineStr">
        <is>
          <t xml:space="preserve">   Elektrina / Sieťový predlžovací prívod s francúzskou zásuvkou, rozbočovač, zásuvka</t>
        </is>
      </c>
      <c r="B1972" s="6" t="inlineStr">
        <is>
          <t/>
        </is>
      </c>
      <c r="C1972" s="6" t="inlineStr">
        <is>
          <t/>
        </is>
      </c>
      <c r="D1972" s="6" t="inlineStr">
        <is>
          <t/>
        </is>
      </c>
      <c r="E1972" s="6" t="inlineStr">
        <is>
          <t/>
        </is>
      </c>
      <c r="F1972" s="6" t="inlineStr">
        <is>
          <t/>
        </is>
      </c>
      <c r="G1972" s="6" t="inlineStr">
        <is>
          <t/>
        </is>
      </c>
    </row>
    <row r="1973">
      <c r="A1973" s="3" t="inlineStr">
        <is>
          <t>NVF 3K-3/WH/1,5</t>
        </is>
      </c>
      <c r="B1973" s="2" t="inlineStr">
        <is>
          <t>Sieťový predlžovací prívod so spínačom, 3 zásuvky</t>
        </is>
      </c>
      <c r="C1973" s="1" t="n">
        <v>7.99</v>
      </c>
      <c r="D1973" s="7" t="n">
        <f>HYPERLINK("https://www.somogyi.sk/product/sietovy-predlzovaci-privod-so-spinacom-3-zasuvky-nvf-3k-3-wh-1-5-17150","https://www.somogyi.sk/product/sietovy-predlzovaci-privod-so-spinacom-3-zasuvky-nvf-3k-3-wh-1-5-17150")</f>
        <v>0.0</v>
      </c>
      <c r="E1973" s="7" t="n">
        <f>HYPERLINK("https://www.somogyi.sk/productimages/product_main_images/small/17150.jpg","https://www.somogyi.sk/productimages/product_main_images/small/17150.jpg")</f>
        <v>0.0</v>
      </c>
      <c r="F1973" s="2" t="inlineStr">
        <is>
          <t>5999084951825</t>
        </is>
      </c>
      <c r="G1973" s="4" t="inlineStr">
        <is>
          <t xml:space="preserve"> • zásuvky s detskou ochranou 
 • 1 NPE 230 V∼ / 50 Hz 
 • 250 V∼ / max. 16 A 
 • 3/3 x 1,5 mm2 
 • 3 m 
 • biela</t>
        </is>
      </c>
    </row>
    <row r="1974">
      <c r="A1974" s="3" t="inlineStr">
        <is>
          <t>NVF 3K-5/WH/1,5</t>
        </is>
      </c>
      <c r="B1974" s="2" t="inlineStr">
        <is>
          <t>Sieťový predlžovací prívod so spínačom, 3 zásuvky</t>
        </is>
      </c>
      <c r="C1974" s="1" t="n">
        <v>9.49</v>
      </c>
      <c r="D1974" s="7" t="n">
        <f>HYPERLINK("https://www.somogyi.sk/product/sietovy-predlzovaci-privod-so-spinacom-3-zasuvky-nvf-3k-5-wh-1-5-17151","https://www.somogyi.sk/product/sietovy-predlzovaci-privod-so-spinacom-3-zasuvky-nvf-3k-5-wh-1-5-17151")</f>
        <v>0.0</v>
      </c>
      <c r="E1974" s="7" t="n">
        <f>HYPERLINK("https://www.somogyi.sk/productimages/product_main_images/small/17151.jpg","https://www.somogyi.sk/productimages/product_main_images/small/17151.jpg")</f>
        <v>0.0</v>
      </c>
      <c r="F1974" s="2" t="inlineStr">
        <is>
          <t>5999084951832</t>
        </is>
      </c>
      <c r="G1974" s="4" t="inlineStr">
        <is>
          <t xml:space="preserve"> • zásuvky s detskou ochranou 
 • 1 NPE 230 V∼ / 50 Hz 
 • 250 V∼ / max. 16 A 
 • 3/3 x 1,5 mm2 
 • 5 m 
 • biela</t>
        </is>
      </c>
    </row>
    <row r="1975">
      <c r="A1975" s="3" t="inlineStr">
        <is>
          <t>NVF 2-5/WH/1,5</t>
        </is>
      </c>
      <c r="B1975" s="2" t="inlineStr">
        <is>
          <t>Sieťový predlžovací prívod, biela, 5 m</t>
        </is>
      </c>
      <c r="C1975" s="1" t="n">
        <v>8.99</v>
      </c>
      <c r="D1975" s="7" t="n">
        <f>HYPERLINK("https://www.somogyi.sk/product/sietovy-predlzovaci-privod-biela-5-m-nvf-2-5-wh-1-5-17152","https://www.somogyi.sk/product/sietovy-predlzovaci-privod-biela-5-m-nvf-2-5-wh-1-5-17152")</f>
        <v>0.0</v>
      </c>
      <c r="E1975" s="7" t="n">
        <f>HYPERLINK("https://www.somogyi.sk/productimages/product_main_images/small/17152.jpg","https://www.somogyi.sk/productimages/product_main_images/small/17152.jpg")</f>
        <v>0.0</v>
      </c>
      <c r="F1975" s="2" t="inlineStr">
        <is>
          <t>5999084951849</t>
        </is>
      </c>
      <c r="G1975" s="4" t="inlineStr">
        <is>
          <t xml:space="preserve"> • 3 x 1,5 mm² H05VV-F 
 • 5 m 
 • biela</t>
        </is>
      </c>
    </row>
    <row r="1976">
      <c r="A1976" s="3" t="inlineStr">
        <is>
          <t>NVF 2-10/WH/1,5</t>
        </is>
      </c>
      <c r="B1976" s="2" t="inlineStr">
        <is>
          <t>Sieťový predlžovací prívod, biela, 10 m</t>
        </is>
      </c>
      <c r="C1976" s="1" t="n">
        <v>16.99</v>
      </c>
      <c r="D1976" s="7" t="n">
        <f>HYPERLINK("https://www.somogyi.sk/product/sietovy-predlzovaci-privod-biela-10-m-nvf-2-10-wh-1-5-17153","https://www.somogyi.sk/product/sietovy-predlzovaci-privod-biela-10-m-nvf-2-10-wh-1-5-17153")</f>
        <v>0.0</v>
      </c>
      <c r="E1976" s="7" t="n">
        <f>HYPERLINK("https://www.somogyi.sk/productimages/product_main_images/small/17153.jpg","https://www.somogyi.sk/productimages/product_main_images/small/17153.jpg")</f>
        <v>0.0</v>
      </c>
      <c r="F1976" s="2" t="inlineStr">
        <is>
          <t>5999084951856</t>
        </is>
      </c>
      <c r="G1976" s="4" t="inlineStr">
        <is>
          <t xml:space="preserve"> • 3 x 1,5 mm² H05VV-F 
 • 10 m 
 • biela</t>
        </is>
      </c>
    </row>
    <row r="1977">
      <c r="A1977" s="3" t="inlineStr">
        <is>
          <t>NVF 2-10/OR/1,5</t>
        </is>
      </c>
      <c r="B1977" s="2" t="inlineStr">
        <is>
          <t>Sieťový predlžovací prívod, oranžová, 10 m</t>
        </is>
      </c>
      <c r="C1977" s="1" t="n">
        <v>16.99</v>
      </c>
      <c r="D1977" s="7" t="n">
        <f>HYPERLINK("https://www.somogyi.sk/product/sietovy-predlzovaci-privod-oranzova-10-m-nvf-2-10-or-1-5-17154","https://www.somogyi.sk/product/sietovy-predlzovaci-privod-oranzova-10-m-nvf-2-10-or-1-5-17154")</f>
        <v>0.0</v>
      </c>
      <c r="E1977" s="7" t="n">
        <f>HYPERLINK("https://www.somogyi.sk/productimages/product_main_images/small/17154.jpg","https://www.somogyi.sk/productimages/product_main_images/small/17154.jpg")</f>
        <v>0.0</v>
      </c>
      <c r="F1977" s="2" t="inlineStr">
        <is>
          <t>5999084951863</t>
        </is>
      </c>
      <c r="G1977" s="4" t="inlineStr">
        <is>
          <t xml:space="preserve"> • typ kábla: 3 x 1,5 mm²  H05VV-F 
 • dĺžka kábla: 10 m 
 • farba: oranžová</t>
        </is>
      </c>
    </row>
    <row r="1978">
      <c r="A1978" s="3" t="inlineStr">
        <is>
          <t>NVF 2-20/OR/1,5</t>
        </is>
      </c>
      <c r="B1978" s="2" t="inlineStr">
        <is>
          <t>20 m predložovací prívod, oranžová</t>
        </is>
      </c>
      <c r="C1978" s="1" t="n">
        <v>28.99</v>
      </c>
      <c r="D1978" s="7" t="n">
        <f>HYPERLINK("https://www.somogyi.sk/product/20-m-predlozovaci-privod-oranzova-nvf-2-20-or-1-5-17155","https://www.somogyi.sk/product/20-m-predlozovaci-privod-oranzova-nvf-2-20-or-1-5-17155")</f>
        <v>0.0</v>
      </c>
      <c r="E1978" s="7" t="n">
        <f>HYPERLINK("https://www.somogyi.sk/productimages/product_main_images/small/17155.jpg","https://www.somogyi.sk/productimages/product_main_images/small/17155.jpg")</f>
        <v>0.0</v>
      </c>
      <c r="F1978" s="2" t="inlineStr">
        <is>
          <t>5999084951870</t>
        </is>
      </c>
      <c r="G1978" s="4" t="inlineStr">
        <is>
          <t xml:space="preserve"> • 3 x 1,5 mm² H05VV-F 
 • 20 m 
 • oranžová</t>
        </is>
      </c>
    </row>
    <row r="1979">
      <c r="A1979" s="3" t="inlineStr">
        <is>
          <t>NVF 2-30/OR/1,5</t>
        </is>
      </c>
      <c r="B1979" s="2" t="inlineStr">
        <is>
          <t>Sieťový predlžovací prívod, oranžová, 30 m</t>
        </is>
      </c>
      <c r="C1979" s="1" t="n">
        <v>45.99</v>
      </c>
      <c r="D1979" s="7" t="n">
        <f>HYPERLINK("https://www.somogyi.sk/product/sietovy-predlzovaci-privod-oranzova-30-m-nvf-2-30-or-1-5-17156","https://www.somogyi.sk/product/sietovy-predlzovaci-privod-oranzova-30-m-nvf-2-30-or-1-5-17156")</f>
        <v>0.0</v>
      </c>
      <c r="E1979" s="7" t="n">
        <f>HYPERLINK("https://www.somogyi.sk/productimages/product_main_images/small/17156.jpg","https://www.somogyi.sk/productimages/product_main_images/small/17156.jpg")</f>
        <v>0.0</v>
      </c>
      <c r="F1979" s="2" t="inlineStr">
        <is>
          <t>5999084951887</t>
        </is>
      </c>
      <c r="G1979" s="4" t="inlineStr">
        <is>
          <t xml:space="preserve"> • 3 x 1,5 mm² H05VV-F 
 • 30 m 
 • oranžová</t>
        </is>
      </c>
    </row>
    <row r="1980">
      <c r="A1980" s="3" t="inlineStr">
        <is>
          <t>NVKF 1/WH</t>
        </is>
      </c>
      <c r="B1980" s="2" t="inlineStr">
        <is>
          <t>Sieťová zásuvka, s vypínačom, francúzska n.</t>
        </is>
      </c>
      <c r="C1980" s="1" t="n">
        <v>3.09</v>
      </c>
      <c r="D1980" s="7" t="n">
        <f>HYPERLINK("https://www.somogyi.sk/product/sietova-zasuvka-s-vypinacom-francuzska-n-nvkf-1-wh-8873","https://www.somogyi.sk/product/sietova-zasuvka-s-vypinacom-francuzska-n-nvkf-1-wh-8873")</f>
        <v>0.0</v>
      </c>
      <c r="E1980" s="7" t="n">
        <f>HYPERLINK("https://www.somogyi.sk/productimages/product_main_images/small/08873.jpg","https://www.somogyi.sk/productimages/product_main_images/small/08873.jpg")</f>
        <v>0.0</v>
      </c>
      <c r="F1980" s="2" t="inlineStr">
        <is>
          <t>5998312777534</t>
        </is>
      </c>
      <c r="G1980" s="4" t="inlineStr">
        <is>
          <t xml:space="preserve"> • menovité napätie: 250 V~  / 50 Hz 
 • menovitý prúd: 16 A 
 • menovitý príkon: 3500 W 
 • počet zásuviek: 1 
 • detská poistka: áno 
 • prepäťová ochrana: nie 
 • vypínač: áno 
 • závesné zásuvky: nie 
 • farba: biela 
 • IP stupeň ochrany: IP20 
 • rozmery: 53 x 74 x 79 mm</t>
        </is>
      </c>
    </row>
    <row r="1981">
      <c r="A1981" s="3" t="inlineStr">
        <is>
          <t>NVF 2-16/WH</t>
        </is>
      </c>
      <c r="B1981" s="2" t="inlineStr">
        <is>
          <t>Sieťový rozbočovač  T, 3 zásuvky (2 uzemnené + 1 euro) , francúzska n.</t>
        </is>
      </c>
      <c r="C1981" s="1" t="n">
        <v>4.09</v>
      </c>
      <c r="D1981" s="7" t="n">
        <f>HYPERLINK("https://www.somogyi.sk/product/sietovy-rozbocovac-t-3-zasuvky-2-uzemnene-1-euro-francuzska-n-nvf-2-16-wh-7552","https://www.somogyi.sk/product/sietovy-rozbocovac-t-3-zasuvky-2-uzemnene-1-euro-francuzska-n-nvf-2-16-wh-7552")</f>
        <v>0.0</v>
      </c>
      <c r="E1981" s="7" t="n">
        <f>HYPERLINK("https://www.somogyi.sk/productimages/product_main_images/small/07552.jpg","https://www.somogyi.sk/productimages/product_main_images/small/07552.jpg")</f>
        <v>0.0</v>
      </c>
      <c r="F1981" s="2" t="inlineStr">
        <is>
          <t>5998312765364</t>
        </is>
      </c>
      <c r="G1981" s="4" t="inlineStr">
        <is>
          <t xml:space="preserve"> • menovité napätie: 250 V~ 
 • menovitý prúd: max. 16 A 
 • počet zásuviek: 3ks uzemnenej zásuvky, 1ks euro zásuvka 
 • prepäťová ochrana: nie 
 • vypínač: nie 
 • závesné zásuvky: nie 
 • farba: biela 
 • IP stupeň ochrany: IP20</t>
        </is>
      </c>
    </row>
    <row r="1982">
      <c r="A1982" s="3" t="inlineStr">
        <is>
          <t>NVF 16/WH</t>
        </is>
      </c>
      <c r="B1982" s="2" t="inlineStr">
        <is>
          <t>Sieťový rozbočovač  T, 3 uzemnené zásuvky, francúzska n.</t>
        </is>
      </c>
      <c r="C1982" s="1" t="n">
        <v>5.19</v>
      </c>
      <c r="D1982" s="7" t="n">
        <f>HYPERLINK("https://www.somogyi.sk/product/sietovy-rozbocovac-t-3-uzemnene-zasuvky-francuzska-n-nvf-16-wh-7551","https://www.somogyi.sk/product/sietovy-rozbocovac-t-3-uzemnene-zasuvky-francuzska-n-nvf-16-wh-7551")</f>
        <v>0.0</v>
      </c>
      <c r="E1982" s="7" t="n">
        <f>HYPERLINK("https://www.somogyi.sk/productimages/product_main_images/small/07551.jpg","https://www.somogyi.sk/productimages/product_main_images/small/07551.jpg")</f>
        <v>0.0</v>
      </c>
      <c r="F1982" s="2" t="inlineStr">
        <is>
          <t>5998312765357</t>
        </is>
      </c>
      <c r="G1982" s="4" t="inlineStr">
        <is>
          <t xml:space="preserve"> • menovité napätie: 250 V~ 
 • menovitý prúd: max. 16 A 
 • počet zásuviek: 3ks uzemnenej zásuvky 
 • prepäťová ochrana: nie 
 • vypínač: nie 
 • závesné zásuvky: nie 
 • farba: biela 
 • IP stupeň ochrany: IP20</t>
        </is>
      </c>
    </row>
    <row r="1983">
      <c r="A1983" s="3" t="inlineStr">
        <is>
          <t>NVTF 1/WH</t>
        </is>
      </c>
      <c r="B1983" s="2" t="inlineStr">
        <is>
          <t>Sieťová zásuvka, prepäťová ochrana, francúzska n.</t>
        </is>
      </c>
      <c r="C1983" s="1" t="n">
        <v>5.49</v>
      </c>
      <c r="D1983" s="7" t="n">
        <f>HYPERLINK("https://www.somogyi.sk/product/sietova-zasuvka-prepatova-ochrana-francuzska-n-nvtf-1-wh-8874","https://www.somogyi.sk/product/sietova-zasuvka-prepatova-ochrana-francuzska-n-nvtf-1-wh-8874")</f>
        <v>0.0</v>
      </c>
      <c r="E1983" s="7" t="n">
        <f>HYPERLINK("https://www.somogyi.sk/productimages/product_main_images/small/08874.jpg","https://www.somogyi.sk/productimages/product_main_images/small/08874.jpg")</f>
        <v>0.0</v>
      </c>
      <c r="F1983" s="2" t="inlineStr">
        <is>
          <t>5998312777541</t>
        </is>
      </c>
      <c r="G1983" s="4" t="inlineStr">
        <is>
          <t xml:space="preserve"> • menovité napätie: 250 V~ / 50 Hz 
 • menovitý prúd: 16 A 
 • menovitý príkon: 3500 W 
 • počet zásuviek: 1 
 • detská poistka: áno 
 • prepäťová ochrana: ochrana pred prepätím: 4,5 kA 
 • vypínač: nie 
 • závesné zásuvky: nie 
 • farba: biela 
 • IP stupeň ochrany: IP20 
 • rozmery: 53 x 74 x 79 mm</t>
        </is>
      </c>
    </row>
    <row r="1984">
      <c r="A1984" s="3" t="inlineStr">
        <is>
          <t>NVF 17/WH</t>
        </is>
      </c>
      <c r="B1984" s="2" t="inlineStr">
        <is>
          <t>Rozbočovač so spínačom, 1,5 m, biela</t>
        </is>
      </c>
      <c r="C1984" s="1" t="n">
        <v>5.69</v>
      </c>
      <c r="D1984" s="7" t="n">
        <f>HYPERLINK("https://www.somogyi.sk/product/rozbocovac-so-spinacom-1-5-m-biela-nvf-17-wh-9321","https://www.somogyi.sk/product/rozbocovac-so-spinacom-1-5-m-biela-nvf-17-wh-9321")</f>
        <v>0.0</v>
      </c>
      <c r="E1984" s="7" t="n">
        <f>HYPERLINK("https://www.somogyi.sk/productimages/product_main_images/small/09321.jpg","https://www.somogyi.sk/productimages/product_main_images/small/09321.jpg")</f>
        <v>0.0</v>
      </c>
      <c r="F1984" s="2" t="inlineStr">
        <is>
          <t>5998312781296</t>
        </is>
      </c>
      <c r="G1984" s="4" t="inlineStr">
        <is>
          <t xml:space="preserve"> • typ kábla: 3 x 1,0 mm²  H05VV-F 
 • dĺžka kábla: 1,5 m 
 • menovité napätie: 250 V~ 
 • menovitý prúd: max. 10 A 
 • počet zásuviek: 3 ks uzemnenej zásuvky, 4 ks euro zásuvky 
 • prepäťová ochrana: nie 
 • vypínač: áno 
 • závesné zásuvky: nie 
 • farba: biela 
 • IP stupeň ochrany: IP20</t>
        </is>
      </c>
    </row>
    <row r="1985">
      <c r="A1985" s="3" t="inlineStr">
        <is>
          <t>NVF 3/WH</t>
        </is>
      </c>
      <c r="B1985" s="2" t="inlineStr">
        <is>
          <t>Sieťový predlžovací prívod, 3 zásuvky, 1,5 m</t>
        </is>
      </c>
      <c r="C1985" s="1" t="n">
        <v>3.49</v>
      </c>
      <c r="D1985" s="7" t="n">
        <f>HYPERLINK("https://www.somogyi.sk/product/sietovy-predlzovaci-privod-3-zasuvky-1-5-m-nvf-3-wh-16843","https://www.somogyi.sk/product/sietovy-predlzovaci-privod-3-zasuvky-1-5-m-nvf-3-wh-16843")</f>
        <v>0.0</v>
      </c>
      <c r="E1985" s="7" t="n">
        <f>HYPERLINK("https://www.somogyi.sk/productimages/product_main_images/small/16843.jpg","https://www.somogyi.sk/productimages/product_main_images/small/16843.jpg")</f>
        <v>0.0</v>
      </c>
      <c r="F1985" s="2" t="inlineStr">
        <is>
          <t>5999084948757</t>
        </is>
      </c>
      <c r="G1985" s="4" t="inlineStr">
        <is>
          <t xml:space="preserve"> • zásuvky s detskou ochranou 
 • 1 NPE 230 V∼ / 50 Hz 
 • 250 V∼ / max. 10 A 
 • 1,0 mm2 
 • 1,5 m 
 • biela</t>
        </is>
      </c>
    </row>
    <row r="1986">
      <c r="A1986" s="3" t="inlineStr">
        <is>
          <t>NVF 3K/WH</t>
        </is>
      </c>
      <c r="B1986" s="2" t="inlineStr">
        <is>
          <t>Sieťový predlžovací prívod so spínačom, 3 zásuvky, 1,5 m</t>
        </is>
      </c>
      <c r="C1986" s="1" t="n">
        <v>4.09</v>
      </c>
      <c r="D1986" s="7" t="n">
        <f>HYPERLINK("https://www.somogyi.sk/product/sietovy-predlzovaci-privod-so-spinacom-3-zasuvky-1-5-m-nvf-3k-wh-16846","https://www.somogyi.sk/product/sietovy-predlzovaci-privod-so-spinacom-3-zasuvky-1-5-m-nvf-3k-wh-16846")</f>
        <v>0.0</v>
      </c>
      <c r="E1986" s="7" t="n">
        <f>HYPERLINK("https://www.somogyi.sk/productimages/product_main_images/small/16846.jpg","https://www.somogyi.sk/productimages/product_main_images/small/16846.jpg")</f>
        <v>0.0</v>
      </c>
      <c r="F1986" s="2" t="inlineStr">
        <is>
          <t>5999084948788</t>
        </is>
      </c>
      <c r="G1986" s="4" t="inlineStr">
        <is>
          <t xml:space="preserve"> • zásuvky s detskou ochranou 
 • 1 NPE 230 V~ / 50 Hz 
 • 250 V~ / max. 10 A, 3 x 1,0 mm², H05VV-F 
 • 1,5 m</t>
        </is>
      </c>
    </row>
    <row r="1987">
      <c r="A1987" s="3" t="inlineStr">
        <is>
          <t>NVF 3-3/WH/1,5</t>
        </is>
      </c>
      <c r="B1987" s="2" t="inlineStr">
        <is>
          <t>Sieťový predlžovací prívod, 3 zásuvky, 3 m</t>
        </is>
      </c>
      <c r="C1987" s="1" t="n">
        <v>6.89</v>
      </c>
      <c r="D1987" s="7" t="n">
        <f>HYPERLINK("https://www.somogyi.sk/product/sietovy-predlzovaci-privod-3-zasuvky-3-m-nvf-3-3-wh-1-5-17148","https://www.somogyi.sk/product/sietovy-predlzovaci-privod-3-zasuvky-3-m-nvf-3-3-wh-1-5-17148")</f>
        <v>0.0</v>
      </c>
      <c r="E1987" s="7" t="n">
        <f>HYPERLINK("https://www.somogyi.sk/productimages/product_main_images/small/17148.jpg","https://www.somogyi.sk/productimages/product_main_images/small/17148.jpg")</f>
        <v>0.0</v>
      </c>
      <c r="F1987" s="2" t="inlineStr">
        <is>
          <t>5999084951801</t>
        </is>
      </c>
      <c r="G1987" s="4" t="inlineStr">
        <is>
          <t xml:space="preserve"> • zásuvky s detskou ochranou 
 • 1 NPE 230 V∼ / 50 Hz 
 • 250 V∼ / max. 16 A 
 • 3/3 x 1,5 mm2 
 • 3 m 
 • biela</t>
        </is>
      </c>
    </row>
    <row r="1988">
      <c r="A1988" s="3" t="inlineStr">
        <is>
          <t>NVF 3-5/WH/1,5</t>
        </is>
      </c>
      <c r="B1988" s="2" t="inlineStr">
        <is>
          <t>Sieťový predlžovací prívod, 3 zásuvky, 5 m</t>
        </is>
      </c>
      <c r="C1988" s="1" t="n">
        <v>9.79</v>
      </c>
      <c r="D1988" s="7" t="n">
        <f>HYPERLINK("https://www.somogyi.sk/product/sietovy-predlzovaci-privod-3-zasuvky-5-m-nvf-3-5-wh-1-5-17149","https://www.somogyi.sk/product/sietovy-predlzovaci-privod-3-zasuvky-5-m-nvf-3-5-wh-1-5-17149")</f>
        <v>0.0</v>
      </c>
      <c r="E1988" s="7" t="n">
        <f>HYPERLINK("https://www.somogyi.sk/productimages/product_main_images/small/17149.jpg","https://www.somogyi.sk/productimages/product_main_images/small/17149.jpg")</f>
        <v>0.0</v>
      </c>
      <c r="F1988" s="2" t="inlineStr">
        <is>
          <t>5999084951818</t>
        </is>
      </c>
      <c r="G1988" s="4" t="inlineStr">
        <is>
          <t xml:space="preserve"> • zásuvky s detskou ochranou 
 • 1 NPE 230 V∼ / 50 Hz 
 • 250 V∼ / max. 16 A 
 • 3/3 x 1,5 mm2 
 • 5 m 
 • biela</t>
        </is>
      </c>
    </row>
    <row r="1989">
      <c r="A1989" s="6" t="inlineStr">
        <is>
          <t xml:space="preserve">   Elektrina / Časové spínače, diaľkovo ovládané zásuvky s francúzskou zásuvkou</t>
        </is>
      </c>
      <c r="B1989" s="6" t="inlineStr">
        <is>
          <t/>
        </is>
      </c>
      <c r="C1989" s="6" t="inlineStr">
        <is>
          <t/>
        </is>
      </c>
      <c r="D1989" s="6" t="inlineStr">
        <is>
          <t/>
        </is>
      </c>
      <c r="E1989" s="6" t="inlineStr">
        <is>
          <t/>
        </is>
      </c>
      <c r="F1989" s="6" t="inlineStr">
        <is>
          <t/>
        </is>
      </c>
      <c r="G1989" s="6" t="inlineStr">
        <is>
          <t/>
        </is>
      </c>
    </row>
    <row r="1990">
      <c r="A1990" s="3" t="inlineStr">
        <is>
          <t>7300S</t>
        </is>
      </c>
      <c r="B1990" s="2" t="inlineStr">
        <is>
          <t>Mechanický denný časový spínač, mini, franzúzska zásuvka</t>
        </is>
      </c>
      <c r="C1990" s="1" t="n">
        <v>5.99</v>
      </c>
      <c r="D1990" s="7" t="n">
        <f>HYPERLINK("https://www.somogyi.sk/product/mechanicky-denny-casovy-spinac-mini-franzuzska-zasuvka-7300s-16426","https://www.somogyi.sk/product/mechanicky-denny-casovy-spinac-mini-franzuzska-zasuvka-7300s-16426")</f>
        <v>0.0</v>
      </c>
      <c r="E1990" s="7" t="n">
        <f>HYPERLINK("https://www.somogyi.sk/productimages/product_main_images/small/16426.jpg","https://www.somogyi.sk/productimages/product_main_images/small/16426.jpg")</f>
        <v>0.0</v>
      </c>
      <c r="F1990" s="2" t="inlineStr">
        <is>
          <t>5999084944582</t>
        </is>
      </c>
      <c r="G1990" s="4" t="inlineStr">
        <is>
          <t xml:space="preserve"> • min. programovateľná doba: 30 minút  
 • max. 48 zapínaní alebo vypínaní za deň   
 • manuálny vy- / zapínač  
 • detská ochrana  
 • 16 A / 230 V~ / 3680 W                                                 
 • rozmery: 103 x 54 x 70</t>
        </is>
      </c>
    </row>
    <row r="1991">
      <c r="A1991" s="6" t="inlineStr">
        <is>
          <t xml:space="preserve">   Elektrina / Spínač osvetlenia, zásuvka</t>
        </is>
      </c>
      <c r="B1991" s="6" t="inlineStr">
        <is>
          <t/>
        </is>
      </c>
      <c r="C1991" s="6" t="inlineStr">
        <is>
          <t/>
        </is>
      </c>
      <c r="D1991" s="6" t="inlineStr">
        <is>
          <t/>
        </is>
      </c>
      <c r="E1991" s="6" t="inlineStr">
        <is>
          <t/>
        </is>
      </c>
      <c r="F1991" s="6" t="inlineStr">
        <is>
          <t/>
        </is>
      </c>
      <c r="G1991" s="6" t="inlineStr">
        <is>
          <t/>
        </is>
      </c>
    </row>
    <row r="1992">
      <c r="A1992" s="3" t="inlineStr">
        <is>
          <t>0316H</t>
        </is>
      </c>
      <c r="B1992" s="2" t="inlineStr">
        <is>
          <t>Prepínací spínač, Business Line IP20</t>
        </is>
      </c>
      <c r="C1992" s="1" t="n">
        <v>3.19</v>
      </c>
      <c r="D1992" s="7" t="n">
        <f>HYPERLINK("https://www.somogyi.sk/product/prepinaci-spinac-business-line-ip20-0316h-9944","https://www.somogyi.sk/product/prepinaci-spinac-business-line-ip20-0316h-9944")</f>
        <v>0.0</v>
      </c>
      <c r="E1992" s="7" t="n">
        <f>HYPERLINK("https://www.somogyi.sk/productimages/product_main_images/small/09944.jpg","https://www.somogyi.sk/productimages/product_main_images/small/09944.jpg")</f>
        <v>0.0</v>
      </c>
      <c r="F1992" s="2" t="inlineStr">
        <is>
          <t>4004282403166</t>
        </is>
      </c>
      <c r="G1992" s="4" t="inlineStr">
        <is>
          <t xml:space="preserve"> • sortiment: Business Line 
 • IP stupeň ochrany: IP20 
 • na stenu: áno 
 • zapustená: nie 
 • uzemnená: nie 
 • menovité napätie: 230 V~  / 50 Hz 
 • menovitý prúd: 10 A 
 • prepínací spínač: áno</t>
        </is>
      </c>
    </row>
    <row r="1993">
      <c r="A1993" s="3" t="inlineStr">
        <is>
          <t>22041</t>
        </is>
      </c>
      <c r="B1993" s="2" t="inlineStr">
        <is>
          <t>Aquastar prepínací spínač, biela</t>
        </is>
      </c>
      <c r="C1993" s="1" t="n">
        <v>4.59</v>
      </c>
      <c r="D1993" s="7" t="n">
        <f>HYPERLINK("https://www.somogyi.sk/product/aquastar-prepinaci-spinac-biela-22041-15313","https://www.somogyi.sk/product/aquastar-prepinaci-spinac-biela-22041-15313")</f>
        <v>0.0</v>
      </c>
      <c r="E1993" s="7" t="n">
        <f>HYPERLINK("https://www.somogyi.sk/productimages/product_main_images/small/15313.jpg","https://www.somogyi.sk/productimages/product_main_images/small/15313.jpg")</f>
        <v>0.0</v>
      </c>
      <c r="F1993" s="2" t="inlineStr">
        <is>
          <t>4008297220411</t>
        </is>
      </c>
      <c r="G1993" s="4" t="inlineStr">
        <is>
          <t xml:space="preserve"> • sortiment: Aquastar 
 • IP stupeň ochrany: IP44 
 • na stenu: áno 
 • menovité napätie: 230 V~ / 50 Hz 
 • menovitý prúd: 10 A 
 • prepínací spínač: áno 
 • farba: biela</t>
        </is>
      </c>
    </row>
    <row r="1994">
      <c r="A1994" s="3" t="inlineStr">
        <is>
          <t>0323H</t>
        </is>
      </c>
      <c r="B1994" s="2" t="inlineStr">
        <is>
          <t>Tlačidlový spínač,  Business Line IP20</t>
        </is>
      </c>
      <c r="C1994" s="1" t="n">
        <v>2.59</v>
      </c>
      <c r="D1994" s="7" t="n">
        <f>HYPERLINK("https://www.somogyi.sk/product/tlacidlovy-spinac-business-line-ip20-0323h-9945","https://www.somogyi.sk/product/tlacidlovy-spinac-business-line-ip20-0323h-9945")</f>
        <v>0.0</v>
      </c>
      <c r="E1994" s="7" t="n">
        <f>HYPERLINK("https://www.somogyi.sk/productimages/product_main_images/small/09945.jpg","https://www.somogyi.sk/productimages/product_main_images/small/09945.jpg")</f>
        <v>0.0</v>
      </c>
      <c r="F1994" s="2" t="inlineStr">
        <is>
          <t>4004282403234</t>
        </is>
      </c>
      <c r="G1994" s="4" t="inlineStr">
        <is>
          <t xml:space="preserve"> • sortiment: Business Line 
 • IP stupeň ochrany: IP 20 
 • na stenu: áno 
 • zapustená: nie 
 • uzemnená: nie 
 • menovité napätie: 230 V~ / 50 Hz 
 • menovitý prúd: 10 A 
 • tlačidlový spínač: áno</t>
        </is>
      </c>
    </row>
    <row r="1995">
      <c r="A1995" s="3" t="inlineStr">
        <is>
          <t>NV 1K/BK</t>
        </is>
      </c>
      <c r="B1995" s="2" t="inlineStr">
        <is>
          <t>Šnúrový spínač, 1-pólový</t>
        </is>
      </c>
      <c r="C1995" s="1" t="n">
        <v>1.29</v>
      </c>
      <c r="D1995" s="7" t="n">
        <f>HYPERLINK("https://www.somogyi.sk/product/snurovy-spinac-1-polovy-nv-1k-bk-15706","https://www.somogyi.sk/product/snurovy-spinac-1-polovy-nv-1k-bk-15706")</f>
        <v>0.0</v>
      </c>
      <c r="E1995" s="7" t="n">
        <f>HYPERLINK("https://www.somogyi.sk/productimages/product_main_images/small/15706.jpg","https://www.somogyi.sk/productimages/product_main_images/small/15706.jpg")</f>
        <v>0.0</v>
      </c>
      <c r="F1995" s="2" t="inlineStr">
        <is>
          <t>5999084937409</t>
        </is>
      </c>
      <c r="G1995" s="4" t="inlineStr">
        <is>
          <t xml:space="preserve"> • menovité napätie: 250 V~ 
 • menovitý prúd: 4 A 
 • 1-pólová: áno 
 • farba: čierna</t>
        </is>
      </c>
    </row>
    <row r="1996">
      <c r="A1996" s="3" t="inlineStr">
        <is>
          <t>NVK SWITCH</t>
        </is>
      </c>
      <c r="B1996" s="2" t="inlineStr">
        <is>
          <t>Spínač na diaľ. ovládanie, 3000 W</t>
        </is>
      </c>
      <c r="C1996" s="1" t="n">
        <v>16.99</v>
      </c>
      <c r="D1996" s="7" t="n">
        <f>HYPERLINK("https://www.somogyi.sk/product/spinac-na-dial-ovladanie-3000-w-nvk-switch-17257","https://www.somogyi.sk/product/spinac-na-dial-ovladanie-3000-w-nvk-switch-17257")</f>
        <v>0.0</v>
      </c>
      <c r="E1996" s="7" t="n">
        <f>HYPERLINK("https://www.somogyi.sk/productimages/product_main_images/small/17257.jpg","https://www.somogyi.sk/productimages/product_main_images/small/17257.jpg")</f>
        <v>0.0</v>
      </c>
      <c r="F1996" s="2" t="inlineStr">
        <is>
          <t>5999084952792</t>
        </is>
      </c>
      <c r="G1996" s="4" t="inlineStr">
        <is>
          <t xml:space="preserve"> • rozmery: tlačidlo / modul: 50x82x22mm / 28x55x19mm 
 • dosah na otvorenom teréne: ∼120 m (na otvorenom teréne) 
 • prevádzková frekvencia: 433,92 MHz 
 • zaťažiteľnosť: 3000 W / 13A 
 • kódovanie: individuálne kódovanie s funkciou učenia / dá sa spárovať až s 8 tlačidlami 
 • obsah setu: 1 spínací modul, 1 tlačidlo</t>
        </is>
      </c>
    </row>
    <row r="1997">
      <c r="A1997" s="3" t="inlineStr">
        <is>
          <t>22031</t>
        </is>
      </c>
      <c r="B1997" s="2" t="inlineStr">
        <is>
          <t>Aquastar spínač osvetlenia, biela</t>
        </is>
      </c>
      <c r="C1997" s="1" t="n">
        <v>4.89</v>
      </c>
      <c r="D1997" s="7" t="n">
        <f>HYPERLINK("https://www.somogyi.sk/product/aquastar-spinac-osvetlenia-biela-22031-15314","https://www.somogyi.sk/product/aquastar-spinac-osvetlenia-biela-22031-15314")</f>
        <v>0.0</v>
      </c>
      <c r="E1997" s="7" t="n">
        <f>HYPERLINK("https://www.somogyi.sk/productimages/product_main_images/small/15314.jpg","https://www.somogyi.sk/productimages/product_main_images/small/15314.jpg")</f>
        <v>0.0</v>
      </c>
      <c r="F1997" s="2" t="inlineStr">
        <is>
          <t>4008297220312</t>
        </is>
      </c>
      <c r="G1997" s="4" t="inlineStr">
        <is>
          <t xml:space="preserve"> • sortiment: Aquastar 
 • IP stupeň ochrany: IP44 
 • na stenu: áno 
 • menovité napätie: 230 V~ / 50 Hz 
 • menovitý prúd: 10 A 
 • spínač osvetlenia: áno 
 • farba: biela</t>
        </is>
      </c>
    </row>
    <row r="1998">
      <c r="A1998" s="3" t="inlineStr">
        <is>
          <t>0315H</t>
        </is>
      </c>
      <c r="B1998" s="2" t="inlineStr">
        <is>
          <t>Spínač osvetlenia,  Business Line IP20</t>
        </is>
      </c>
      <c r="C1998" s="1" t="n">
        <v>2.59</v>
      </c>
      <c r="D1998" s="7" t="n">
        <f>HYPERLINK("https://www.somogyi.sk/product/spinac-osvetlenia-business-line-ip20-0315h-9942","https://www.somogyi.sk/product/spinac-osvetlenia-business-line-ip20-0315h-9942")</f>
        <v>0.0</v>
      </c>
      <c r="E1998" s="7" t="n">
        <f>HYPERLINK("https://www.somogyi.sk/productimages/product_main_images/small/09942.jpg","https://www.somogyi.sk/productimages/product_main_images/small/09942.jpg")</f>
        <v>0.0</v>
      </c>
      <c r="F1998" s="2" t="inlineStr">
        <is>
          <t>4004282403159</t>
        </is>
      </c>
      <c r="G1998" s="4" t="inlineStr">
        <is>
          <t xml:space="preserve"> • sortiment: Business Line 
 • IP stupeň ochrany: IP20 
 • na stenu: áno 
 • zapustená: nie 
 • uzemnená: nie 
 • menovité napätie: 230 V~  / 50 Hz 
 • menovitý prúd: 10 A 
 • spínač osvetlenia: áno 
 • prepínací spínač: nie</t>
        </is>
      </c>
    </row>
    <row r="1999">
      <c r="A1999" s="3" t="inlineStr">
        <is>
          <t>22061</t>
        </is>
      </c>
      <c r="B1999" s="2" t="inlineStr">
        <is>
          <t>Aquastar tlačidlo so symbolom zvončeka, biala</t>
        </is>
      </c>
      <c r="C1999" s="1" t="n">
        <v>4.59</v>
      </c>
      <c r="D1999" s="7" t="n">
        <f>HYPERLINK("https://www.somogyi.sk/product/aquastar-tlacidlo-so-symbolom-zvonceka-biala-22061-15317","https://www.somogyi.sk/product/aquastar-tlacidlo-so-symbolom-zvonceka-biala-22061-15317")</f>
        <v>0.0</v>
      </c>
      <c r="E1999" s="7" t="n">
        <f>HYPERLINK("https://www.somogyi.sk/productimages/product_main_images/small/15317.jpg","https://www.somogyi.sk/productimages/product_main_images/small/15317.jpg")</f>
        <v>0.0</v>
      </c>
      <c r="F1999" s="2" t="inlineStr">
        <is>
          <t>4008297220619</t>
        </is>
      </c>
      <c r="G1999" s="4" t="inlineStr">
        <is>
          <t xml:space="preserve"> • sortiment: Aquastar 
 • IP stupeň ochrany: IP44 
 • na stenu: áno 
 • menovité napätie: 230 V~ / 50 Hz 
 • menovitý prúd: 16 A 
 • tlačidlový spínač: áno 
 • farba: biela</t>
        </is>
      </c>
    </row>
    <row r="2000">
      <c r="A2000" s="3" t="inlineStr">
        <is>
          <t>22081</t>
        </is>
      </c>
      <c r="B2000" s="2" t="inlineStr">
        <is>
          <t>Aquastar 1-pólový spínač, biela</t>
        </is>
      </c>
      <c r="C2000" s="1" t="n">
        <v>4.59</v>
      </c>
      <c r="D2000" s="7" t="n">
        <f>HYPERLINK("https://www.somogyi.sk/product/aquastar-1-polovy-spinac-biela-22081-15316","https://www.somogyi.sk/product/aquastar-1-polovy-spinac-biela-22081-15316")</f>
        <v>0.0</v>
      </c>
      <c r="E2000" s="7" t="n">
        <f>HYPERLINK("https://www.somogyi.sk/productimages/product_main_images/small/15316.jpg","https://www.somogyi.sk/productimages/product_main_images/small/15316.jpg")</f>
        <v>0.0</v>
      </c>
      <c r="F2000" s="2" t="inlineStr">
        <is>
          <t>4008297220817</t>
        </is>
      </c>
      <c r="G2000" s="4" t="inlineStr">
        <is>
          <t xml:space="preserve"> • sortiment: Aquastar 
 • IP stupeň ochrany: IP44 
 • na stenu: áno 
 • menovité napätie: 230 V~ / 50 Hz 
 • menovitý prúd: 10 A 
 • 1-pólová: áno 
 • farba: biela</t>
        </is>
      </c>
    </row>
    <row r="2001">
      <c r="A2001" s="3" t="inlineStr">
        <is>
          <t>NV 1K/WH</t>
        </is>
      </c>
      <c r="B2001" s="2" t="inlineStr">
        <is>
          <t>Šnúrový spínač, 1-pólový</t>
        </is>
      </c>
      <c r="C2001" s="1" t="n">
        <v>1.29</v>
      </c>
      <c r="D2001" s="7" t="n">
        <f>HYPERLINK("https://www.somogyi.sk/product/snurovy-spinac-1-polovy-nv-1k-wh-15705","https://www.somogyi.sk/product/snurovy-spinac-1-polovy-nv-1k-wh-15705")</f>
        <v>0.0</v>
      </c>
      <c r="E2001" s="7" t="n">
        <f>HYPERLINK("https://www.somogyi.sk/productimages/product_main_images/small/15705.jpg","https://www.somogyi.sk/productimages/product_main_images/small/15705.jpg")</f>
        <v>0.0</v>
      </c>
      <c r="F2001" s="2" t="inlineStr">
        <is>
          <t>5999084937393</t>
        </is>
      </c>
      <c r="G2001" s="4" t="inlineStr">
        <is>
          <t xml:space="preserve"> • menovité napätie: 250 V~ 
 • menovitý prúd: 4 A 
 • 1-pólová: áno 
 • farba: biela</t>
        </is>
      </c>
    </row>
    <row r="2002">
      <c r="A2002" s="3" t="inlineStr">
        <is>
          <t>22181</t>
        </is>
      </c>
      <c r="B2002" s="2" t="inlineStr">
        <is>
          <t>Aquastar 2-pólový spínač</t>
        </is>
      </c>
      <c r="C2002" s="1" t="n">
        <v>4.99</v>
      </c>
      <c r="D2002" s="7" t="n">
        <f>HYPERLINK("https://www.somogyi.sk/product/aquastar-2-polovy-spinac-22181-15315","https://www.somogyi.sk/product/aquastar-2-polovy-spinac-22181-15315")</f>
        <v>0.0</v>
      </c>
      <c r="E2002" s="7" t="n">
        <f>HYPERLINK("https://www.somogyi.sk/productimages/product_main_images/small/15315.jpg","https://www.somogyi.sk/productimages/product_main_images/small/15315.jpg")</f>
        <v>0.0</v>
      </c>
      <c r="F2002" s="2" t="inlineStr">
        <is>
          <t>4008297221814</t>
        </is>
      </c>
      <c r="G2002" s="4" t="inlineStr">
        <is>
          <t xml:space="preserve"> • sortiment: Aquastar 
 • IP stupeň ochrany: IP44 
 • na stenu: áno 
 • menovité napätie: 230 V~ / 50 Hz 
 • menovitý prúd: 10 A 
 • 2 pólová: áno 
 • farba: biela</t>
        </is>
      </c>
    </row>
    <row r="2003">
      <c r="A2003" s="6" t="inlineStr">
        <is>
          <t xml:space="preserve">   Elektrina / Elektroinštalácia</t>
        </is>
      </c>
      <c r="B2003" s="6" t="inlineStr">
        <is>
          <t/>
        </is>
      </c>
      <c r="C2003" s="6" t="inlineStr">
        <is>
          <t/>
        </is>
      </c>
      <c r="D2003" s="6" t="inlineStr">
        <is>
          <t/>
        </is>
      </c>
      <c r="E2003" s="6" t="inlineStr">
        <is>
          <t/>
        </is>
      </c>
      <c r="F2003" s="6" t="inlineStr">
        <is>
          <t/>
        </is>
      </c>
      <c r="G2003" s="6" t="inlineStr">
        <is>
          <t/>
        </is>
      </c>
    </row>
    <row r="2004">
      <c r="A2004" s="3" t="inlineStr">
        <is>
          <t>0708S</t>
        </is>
      </c>
      <c r="B2004" s="2" t="inlineStr">
        <is>
          <t>E27 objímka, čierny</t>
        </is>
      </c>
      <c r="C2004" s="1" t="n">
        <v>1.29</v>
      </c>
      <c r="D2004" s="7" t="n">
        <f>HYPERLINK("https://www.somogyi.sk/product/e27-objimka-cierny-0708s-10028","https://www.somogyi.sk/product/e27-objimka-cierny-0708s-10028")</f>
        <v>0.0</v>
      </c>
      <c r="E2004" s="7" t="n">
        <f>HYPERLINK("https://www.somogyi.sk/productimages/product_main_images/small/10028.jpg","https://www.somogyi.sk/productimages/product_main_images/small/10028.jpg")</f>
        <v>0.0</v>
      </c>
      <c r="F2004" s="2" t="inlineStr">
        <is>
          <t>4004282407089</t>
        </is>
      </c>
      <c r="G2004" s="4" t="inlineStr">
        <is>
          <t xml:space="preserve"> • objímka: E27 
 • farba: čierna 
 • prúd / výkon: 60 W</t>
        </is>
      </c>
    </row>
    <row r="2005">
      <c r="A2005" s="3" t="inlineStr">
        <is>
          <t>5221H</t>
        </is>
      </c>
      <c r="B2005" s="2" t="inlineStr">
        <is>
          <t>Inštalačná krabica, 85x85 mm, IP54</t>
        </is>
      </c>
      <c r="C2005" s="1" t="n">
        <v>0.89</v>
      </c>
      <c r="D2005" s="7" t="n">
        <f>HYPERLINK("https://www.somogyi.sk/product/instalacna-krabica-85x85-mm-ip54-5221h-10024","https://www.somogyi.sk/product/instalacna-krabica-85x85-mm-ip54-5221h-10024")</f>
        <v>0.0</v>
      </c>
      <c r="E2005" s="7" t="n">
        <f>HYPERLINK("https://www.somogyi.sk/productimages/product_main_images/small/10024.jpg","https://www.somogyi.sk/productimages/product_main_images/small/10024.jpg")</f>
        <v>0.0</v>
      </c>
      <c r="F2005" s="2" t="inlineStr">
        <is>
          <t>4004282452218</t>
        </is>
      </c>
      <c r="G2005" s="4" t="inlineStr">
        <is>
          <t xml:space="preserve"> • rozmery: 85 x 85 mm 
 • farba: sivá 
 • IP ochrana: IP44 
 • na stenu: áno</t>
        </is>
      </c>
    </row>
    <row r="2006">
      <c r="A2006" s="3" t="inlineStr">
        <is>
          <t>5232H</t>
        </is>
      </c>
      <c r="B2006" s="2" t="inlineStr">
        <is>
          <t>Inštalačná krabica, 75x75 mm, IP54</t>
        </is>
      </c>
      <c r="C2006" s="1" t="n">
        <v>0.85</v>
      </c>
      <c r="D2006" s="7" t="n">
        <f>HYPERLINK("https://www.somogyi.sk/product/instalacna-krabica-75x75-mm-ip54-5232h-10023","https://www.somogyi.sk/product/instalacna-krabica-75x75-mm-ip54-5232h-10023")</f>
        <v>0.0</v>
      </c>
      <c r="E2006" s="7" t="n">
        <f>HYPERLINK("https://www.somogyi.sk/productimages/product_main_images/small/10023.jpg","https://www.somogyi.sk/productimages/product_main_images/small/10023.jpg")</f>
        <v>0.0</v>
      </c>
      <c r="F2006" s="2" t="inlineStr">
        <is>
          <t>4004282452324</t>
        </is>
      </c>
      <c r="G2006" s="4" t="inlineStr">
        <is>
          <t xml:space="preserve"> • rozmery: 75 x 75 mm 
 • farba: sivá 
 • IP ochrana: IP44 
 • na stenu: áno</t>
        </is>
      </c>
    </row>
    <row r="2007">
      <c r="A2007" s="3" t="inlineStr">
        <is>
          <t>5229H</t>
        </is>
      </c>
      <c r="B2007" s="2" t="inlineStr">
        <is>
          <t>Inštalačná krabica, 75x45 mm, IP54</t>
        </is>
      </c>
      <c r="C2007" s="1" t="n">
        <v>0.65</v>
      </c>
      <c r="D2007" s="7" t="n">
        <f>HYPERLINK("https://www.somogyi.sk/product/instalacna-krabica-75x45-mm-ip54-5229h-10022","https://www.somogyi.sk/product/instalacna-krabica-75x45-mm-ip54-5229h-10022")</f>
        <v>0.0</v>
      </c>
      <c r="E2007" s="7" t="n">
        <f>HYPERLINK("https://www.somogyi.sk/productimages/product_main_images/small/10022.jpg","https://www.somogyi.sk/productimages/product_main_images/small/10022.jpg")</f>
        <v>0.0</v>
      </c>
      <c r="F2007" s="2" t="inlineStr">
        <is>
          <t>4004282452294</t>
        </is>
      </c>
      <c r="G2007" s="4" t="inlineStr">
        <is>
          <t xml:space="preserve"> • rozmery: 75 x 45 mm 
 • farba: sivá 
 • IP ochrana: IP44 
 • na stenu: áno</t>
        </is>
      </c>
    </row>
    <row r="2008">
      <c r="A2008" s="3" t="inlineStr">
        <is>
          <t>0716S</t>
        </is>
      </c>
      <c r="B2008" s="2" t="inlineStr">
        <is>
          <t>E27 objímka, biely</t>
        </is>
      </c>
      <c r="C2008" s="1" t="n">
        <v>1.15</v>
      </c>
      <c r="D2008" s="7" t="n">
        <f>HYPERLINK("https://www.somogyi.sk/product/e27-objimka-biely-0716s-10029","https://www.somogyi.sk/product/e27-objimka-biely-0716s-10029")</f>
        <v>0.0</v>
      </c>
      <c r="E2008" s="7" t="n">
        <f>HYPERLINK("https://www.somogyi.sk/productimages/product_main_images/small/10029.jpg","https://www.somogyi.sk/productimages/product_main_images/small/10029.jpg")</f>
        <v>0.0</v>
      </c>
      <c r="F2008" s="2" t="inlineStr">
        <is>
          <t>4004282407164</t>
        </is>
      </c>
      <c r="G2008" s="4" t="inlineStr">
        <is>
          <t xml:space="preserve"> • objímka: E27 
 • farba: biela 
 • prúd / výkon: 60 W</t>
        </is>
      </c>
    </row>
    <row r="2009">
      <c r="A2009" s="3" t="inlineStr">
        <is>
          <t>5233H</t>
        </is>
      </c>
      <c r="B2009" s="2" t="inlineStr">
        <is>
          <t>Inštalačná krabica, 100x100 mm, IP54</t>
        </is>
      </c>
      <c r="C2009" s="1" t="n">
        <v>1.15</v>
      </c>
      <c r="D2009" s="7" t="n">
        <f>HYPERLINK("https://www.somogyi.sk/product/instalacna-krabica-100x100-mm-ip54-5233h-10025","https://www.somogyi.sk/product/instalacna-krabica-100x100-mm-ip54-5233h-10025")</f>
        <v>0.0</v>
      </c>
      <c r="E2009" s="7" t="n">
        <f>HYPERLINK("https://www.somogyi.sk/productimages/product_main_images/small/10025.jpg","https://www.somogyi.sk/productimages/product_main_images/small/10025.jpg")</f>
        <v>0.0</v>
      </c>
      <c r="F2009" s="2" t="inlineStr">
        <is>
          <t>4004282452331</t>
        </is>
      </c>
      <c r="G2009" s="4" t="inlineStr">
        <is>
          <t xml:space="preserve"> • rozmery: 100 x 100 mm 
 • farba: sivá 
 • IP ochrana: IP44 
 • na stenu: áno</t>
        </is>
      </c>
    </row>
    <row r="2010">
      <c r="A2010" s="6" t="inlineStr">
        <is>
          <t xml:space="preserve">   Elektrina / Merač spotreby</t>
        </is>
      </c>
      <c r="B2010" s="6" t="inlineStr">
        <is>
          <t/>
        </is>
      </c>
      <c r="C2010" s="6" t="inlineStr">
        <is>
          <t/>
        </is>
      </c>
      <c r="D2010" s="6" t="inlineStr">
        <is>
          <t/>
        </is>
      </c>
      <c r="E2010" s="6" t="inlineStr">
        <is>
          <t/>
        </is>
      </c>
      <c r="F2010" s="6" t="inlineStr">
        <is>
          <t/>
        </is>
      </c>
      <c r="G2010" s="6" t="inlineStr">
        <is>
          <t/>
        </is>
      </c>
    </row>
    <row r="2011">
      <c r="A2011" s="3" t="inlineStr">
        <is>
          <t>5031H</t>
        </is>
      </c>
      <c r="B2011" s="2" t="inlineStr">
        <is>
          <t>1 fázový merač spotreby elektriny, obnovený, 230-250V, 10/30A</t>
        </is>
      </c>
      <c r="C2011" s="1" t="n">
        <v>22.99</v>
      </c>
      <c r="D2011" s="7" t="n">
        <f>HYPERLINK("https://www.somogyi.sk/product/1-fazovy-merac-spotreby-elektriny-obnoveny-230-250v-10-30a-5031h-10107","https://www.somogyi.sk/product/1-fazovy-merac-spotreby-elektriny-obnoveny-230-250v-10-30a-5031h-10107")</f>
        <v>0.0</v>
      </c>
      <c r="E2011" s="7" t="n">
        <f>HYPERLINK("https://www.somogyi.sk/productimages/product_main_images/small/10107.jpg","https://www.somogyi.sk/productimages/product_main_images/small/10107.jpg")</f>
        <v>0.0</v>
      </c>
      <c r="F2011" s="2" t="inlineStr">
        <is>
          <t>4004282450313</t>
        </is>
      </c>
      <c r="G2011" s="4" t="inlineStr">
        <is>
          <t xml:space="preserve"> • fázy: 1 fázový 
 • napätie: 250 V~ 
 • prúd: 10 / 30 A 
 • inovovaný: áno</t>
        </is>
      </c>
    </row>
    <row r="2012">
      <c r="A2012" s="6" t="inlineStr">
        <is>
          <t xml:space="preserve">   Elektrina / N/A</t>
        </is>
      </c>
      <c r="B2012" s="6" t="inlineStr">
        <is>
          <t/>
        </is>
      </c>
      <c r="C2012" s="6" t="inlineStr">
        <is>
          <t/>
        </is>
      </c>
      <c r="D2012" s="6" t="inlineStr">
        <is>
          <t/>
        </is>
      </c>
      <c r="E2012" s="6" t="inlineStr">
        <is>
          <t/>
        </is>
      </c>
      <c r="F2012" s="6" t="inlineStr">
        <is>
          <t/>
        </is>
      </c>
      <c r="G2012" s="6" t="inlineStr">
        <is>
          <t/>
        </is>
      </c>
    </row>
    <row r="2013">
      <c r="A2013" s="3" t="inlineStr">
        <is>
          <t>UPS 1000</t>
        </is>
      </c>
      <c r="B2013" s="2" t="inlineStr">
        <is>
          <t>Stabilizátor napájania a napätia</t>
        </is>
      </c>
      <c r="C2013" s="1" t="n">
        <v>164.9</v>
      </c>
      <c r="D2013" s="7" t="n">
        <f>HYPERLINK("https://www.somogyi.sk/product/stabilizator-napajania-a-napatia-ups-1000-16912","https://www.somogyi.sk/product/stabilizator-napajania-a-napatia-ups-1000-16912")</f>
        <v>0.0</v>
      </c>
      <c r="E2013" s="7" t="n">
        <f>HYPERLINK("https://www.somogyi.sk/productimages/product_main_images/small/16912.jpg","https://www.somogyi.sk/productimages/product_main_images/small/16912.jpg")</f>
        <v>0.0</v>
      </c>
      <c r="F2013" s="2" t="inlineStr">
        <is>
          <t>5999084949440</t>
        </is>
      </c>
      <c r="G2013" s="4" t="inlineStr">
        <is>
          <t xml:space="preserve"> • výkon: 1000 VA zdanlivý výkon / 700 W efektívny výkon 
 • nabíjací prúd: 10 A 
 • povolená teplota okolia: 2 uzemnené zásuvky GS 
 •  
 • charakteristiky: produkuje rovnaké napätie ako sieť (Pure Sine) 
 • rozmery: 14,5 x 17 x 34 cm 
 • hmotnosť: 7,4 kg</t>
        </is>
      </c>
    </row>
    <row r="2014">
      <c r="A2014" s="6" t="inlineStr">
        <is>
          <t xml:space="preserve">   Elektrina / Rozbočovač</t>
        </is>
      </c>
      <c r="B2014" s="6" t="inlineStr">
        <is>
          <t/>
        </is>
      </c>
      <c r="C2014" s="6" t="inlineStr">
        <is>
          <t/>
        </is>
      </c>
      <c r="D2014" s="6" t="inlineStr">
        <is>
          <t/>
        </is>
      </c>
      <c r="E2014" s="6" t="inlineStr">
        <is>
          <t/>
        </is>
      </c>
      <c r="F2014" s="6" t="inlineStr">
        <is>
          <t/>
        </is>
      </c>
      <c r="G2014" s="6" t="inlineStr">
        <is>
          <t/>
        </is>
      </c>
    </row>
    <row r="2015">
      <c r="A2015" s="3" t="inlineStr">
        <is>
          <t>NV 4E-3/WH</t>
        </is>
      </c>
      <c r="B2015" s="2" t="inlineStr">
        <is>
          <t>EURO rozbočovač, 3 m, biela</t>
        </is>
      </c>
      <c r="C2015" s="1" t="n">
        <v>5.79</v>
      </c>
      <c r="D2015" s="7" t="n">
        <f>HYPERLINK("https://www.somogyi.sk/product/euro-rozbocovac-3-m-biela-nv-4e-3-wh-17616","https://www.somogyi.sk/product/euro-rozbocovac-3-m-biela-nv-4e-3-wh-17616")</f>
        <v>0.0</v>
      </c>
      <c r="E2015" s="7" t="n">
        <f>HYPERLINK("https://www.somogyi.sk/productimages/product_main_images/small/17616.jpg","https://www.somogyi.sk/productimages/product_main_images/small/17616.jpg")</f>
        <v>0.0</v>
      </c>
      <c r="F2015" s="2" t="inlineStr">
        <is>
          <t>5999084956387</t>
        </is>
      </c>
      <c r="G2015" s="4" t="inlineStr">
        <is>
          <t xml:space="preserve"> • typ kábla: H05VVH2-F 2 x 0,75 mm2 
 • dĺžka kábla: 3 m 
 • menovité napätie: 250 V~ 
 • menovitý prúd: 4 x 2,5 A 
 • menovitý príkon: 2300 W 
 • počet zásuviek: 4 x EURO 
 • detská poistka: áno 
 • farba: biela</t>
        </is>
      </c>
    </row>
    <row r="2016">
      <c r="A2016" s="3" t="inlineStr">
        <is>
          <t>NV 4E-5/WH</t>
        </is>
      </c>
      <c r="B2016" s="2" t="inlineStr">
        <is>
          <t>EURO rozbočovač, 5 m, biela</t>
        </is>
      </c>
      <c r="C2016" s="1" t="n">
        <v>7.29</v>
      </c>
      <c r="D2016" s="7" t="n">
        <f>HYPERLINK("https://www.somogyi.sk/product/euro-rozbocovac-5-m-biela-nv-4e-5-wh-17617","https://www.somogyi.sk/product/euro-rozbocovac-5-m-biela-nv-4e-5-wh-17617")</f>
        <v>0.0</v>
      </c>
      <c r="E2016" s="7" t="n">
        <f>HYPERLINK("https://www.somogyi.sk/productimages/product_main_images/small/17617.jpg","https://www.somogyi.sk/productimages/product_main_images/small/17617.jpg")</f>
        <v>0.0</v>
      </c>
      <c r="F2016" s="2" t="inlineStr">
        <is>
          <t>5999084956394</t>
        </is>
      </c>
      <c r="G2016" s="4" t="inlineStr">
        <is>
          <t xml:space="preserve"> • typ kábla: H05VVH2-F 2 x 0,75 mm2 
 • dĺžka kábla: 5 m 
 • menovité napätie: 250 V~ 
 • menovitý prúd: 4 x 2,5 A 
 • menovitý príkon: 2300 W 
 • počet zásuviek: 4 x EURO 
 • detská poistka: áno 
 • farba: biela</t>
        </is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2024-04-22T23:00:10Z</dcterms:created>
  <dc:creator>Apache POI</dc:creator>
</cp:coreProperties>
</file>